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codeName="ThisWorkbook"/>
  <mc:AlternateContent xmlns:mc="http://schemas.openxmlformats.org/markup-compatibility/2006">
    <mc:Choice Requires="x15">
      <x15ac:absPath xmlns:x15ac="http://schemas.microsoft.com/office/spreadsheetml/2010/11/ac" url="C:\Users\jarle.heltne\Documents\PM\Turbidity\"/>
    </mc:Choice>
  </mc:AlternateContent>
  <xr:revisionPtr revIDLastSave="0" documentId="8_{810A9C05-BD19-426B-BEEC-0221BE7A53EE}" xr6:coauthVersionLast="46" xr6:coauthVersionMax="46" xr10:uidLastSave="{00000000-0000-0000-0000-000000000000}"/>
  <bookViews>
    <workbookView xWindow="-120" yWindow="-120" windowWidth="29040" windowHeight="15840" xr2:uid="{00000000-000D-0000-FFFF-FFFF00000000}"/>
  </bookViews>
  <sheets>
    <sheet name="Calibration" sheetId="1" r:id="rId1"/>
  </sheets>
  <definedNames>
    <definedName name="X">Calibration!$S$11:$W$11</definedName>
    <definedName name="Y">Calibration!$S$12:$W$12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45" i="1" l="1"/>
  <c r="E43" i="1"/>
  <c r="Q42" i="1"/>
  <c r="AC3" i="1"/>
  <c r="AD3" i="1" s="1"/>
  <c r="Q45" i="1"/>
  <c r="T39" i="1"/>
  <c r="S11" i="1" l="1" a="1"/>
  <c r="S11" i="1" s="1"/>
  <c r="P2" i="1" l="1"/>
  <c r="AA4" i="1" l="1"/>
  <c r="AA5" i="1"/>
  <c r="AA2" i="1"/>
  <c r="AA1" i="1"/>
  <c r="AA3" i="1"/>
  <c r="W3" i="1" l="1"/>
  <c r="V6" i="1" s="1"/>
  <c r="V4" i="1" l="1"/>
  <c r="V8" i="1"/>
  <c r="V7" i="1"/>
  <c r="V5" i="1"/>
  <c r="Z39" i="1" l="1"/>
  <c r="J42" i="1" s="1"/>
  <c r="S45" i="1" l="1"/>
  <c r="S49" i="1" a="1"/>
  <c r="S49" i="1" l="1"/>
  <c r="X39" i="1" l="1"/>
  <c r="H42" i="1" s="1"/>
  <c r="Y39" i="1" l="1"/>
  <c r="I42" i="1"/>
  <c r="V19" i="1" a="1"/>
  <c r="V19" i="1" l="1"/>
  <c r="T26" i="1" s="1"/>
  <c r="T33" i="1" s="1"/>
  <c r="AG26" i="1"/>
  <c r="AG33" i="1" s="1"/>
  <c r="AA26" i="1"/>
  <c r="AA33" i="1" s="1"/>
  <c r="W18" i="1" a="1"/>
  <c r="AK26" i="1" l="1"/>
  <c r="AK33" i="1" s="1"/>
  <c r="AJ26" i="1"/>
  <c r="AJ33" i="1" s="1"/>
  <c r="U26" i="1"/>
  <c r="U33" i="1" s="1"/>
  <c r="AL26" i="1"/>
  <c r="AL33" i="1" s="1"/>
  <c r="AI26" i="1"/>
  <c r="AI33" i="1" s="1"/>
  <c r="Y26" i="1"/>
  <c r="Y33" i="1" s="1"/>
  <c r="V26" i="1"/>
  <c r="V33" i="1" s="1"/>
  <c r="AF26" i="1"/>
  <c r="AF33" i="1" s="1"/>
  <c r="W26" i="1"/>
  <c r="W33" i="1" s="1"/>
  <c r="AD26" i="1"/>
  <c r="AD33" i="1" s="1"/>
  <c r="AE26" i="1"/>
  <c r="AE33" i="1" s="1"/>
  <c r="AH26" i="1"/>
  <c r="AH33" i="1" s="1"/>
  <c r="S26" i="1"/>
  <c r="S33" i="1" s="1"/>
  <c r="Z26" i="1"/>
  <c r="Z33" i="1" s="1"/>
  <c r="X26" i="1"/>
  <c r="X33" i="1" s="1"/>
  <c r="AB26" i="1"/>
  <c r="AB33" i="1" s="1"/>
  <c r="AC26" i="1"/>
  <c r="AC33" i="1" s="1"/>
  <c r="W18" i="1"/>
  <c r="AI25" i="1" s="1"/>
  <c r="AI32" i="1" s="1"/>
  <c r="AD25" i="1"/>
  <c r="AD32" i="1" s="1"/>
  <c r="U25" i="1"/>
  <c r="U32" i="1" s="1"/>
  <c r="AK25" i="1"/>
  <c r="AK32" i="1" s="1"/>
  <c r="AF25" i="1"/>
  <c r="AF32" i="1" s="1"/>
  <c r="U20" i="1" a="1"/>
  <c r="V25" i="1" l="1"/>
  <c r="V32" i="1" s="1"/>
  <c r="X25" i="1"/>
  <c r="X32" i="1" s="1"/>
  <c r="Y25" i="1"/>
  <c r="Y32" i="1" s="1"/>
  <c r="AJ25" i="1"/>
  <c r="AJ32" i="1" s="1"/>
  <c r="Z25" i="1"/>
  <c r="Z32" i="1" s="1"/>
  <c r="AB25" i="1"/>
  <c r="AB32" i="1" s="1"/>
  <c r="W25" i="1"/>
  <c r="W32" i="1" s="1"/>
  <c r="S25" i="1"/>
  <c r="S32" i="1" s="1"/>
  <c r="AG25" i="1"/>
  <c r="AG32" i="1" s="1"/>
  <c r="AE25" i="1"/>
  <c r="AE32" i="1" s="1"/>
  <c r="T25" i="1"/>
  <c r="T32" i="1" s="1"/>
  <c r="AL25" i="1"/>
  <c r="AL32" i="1" s="1"/>
  <c r="AH25" i="1"/>
  <c r="AH32" i="1" s="1"/>
  <c r="AA25" i="1"/>
  <c r="AA32" i="1" s="1"/>
  <c r="AC25" i="1"/>
  <c r="AC32" i="1" s="1"/>
  <c r="U20" i="1"/>
  <c r="Z27" i="1" s="1"/>
  <c r="Z34" i="1" s="1"/>
  <c r="X27" i="1"/>
  <c r="X34" i="1" s="1"/>
  <c r="AF27" i="1" l="1"/>
  <c r="AF34" i="1" s="1"/>
  <c r="AG27" i="1"/>
  <c r="AG34" i="1" s="1"/>
  <c r="U27" i="1"/>
  <c r="U34" i="1" s="1"/>
  <c r="AI27" i="1"/>
  <c r="AI34" i="1" s="1"/>
  <c r="AJ27" i="1"/>
  <c r="AJ34" i="1" s="1"/>
  <c r="AC27" i="1"/>
  <c r="AC34" i="1" s="1"/>
  <c r="V27" i="1"/>
  <c r="V34" i="1" s="1"/>
  <c r="W27" i="1"/>
  <c r="W34" i="1" s="1"/>
  <c r="Y27" i="1"/>
  <c r="Y34" i="1" s="1"/>
  <c r="AE27" i="1"/>
  <c r="AE34" i="1" s="1"/>
  <c r="S27" i="1"/>
  <c r="S34" i="1" s="1"/>
  <c r="AL27" i="1"/>
  <c r="AL34" i="1" s="1"/>
  <c r="T27" i="1"/>
  <c r="T34" i="1" s="1"/>
  <c r="AK27" i="1"/>
  <c r="AK34" i="1" s="1"/>
  <c r="AD27" i="1"/>
  <c r="AD34" i="1" s="1"/>
  <c r="AA27" i="1"/>
  <c r="AA34" i="1" s="1"/>
  <c r="AH27" i="1"/>
  <c r="AH34" i="1" s="1"/>
  <c r="AB27" i="1"/>
  <c r="AB34" i="1" s="1"/>
  <c r="X17" i="1" a="1"/>
  <c r="V39" i="1" l="1"/>
  <c r="F42" i="1" s="1"/>
  <c r="X17" i="1"/>
  <c r="W39" i="1" s="1"/>
  <c r="G42" i="1" s="1"/>
  <c r="U39" i="1"/>
  <c r="Y16" i="1" a="1"/>
  <c r="AF24" i="1" l="1"/>
  <c r="AF31" i="1" s="1"/>
  <c r="AG45" i="1" s="1"/>
  <c r="AE24" i="1"/>
  <c r="U24" i="1"/>
  <c r="AC24" i="1"/>
  <c r="AC31" i="1" s="1"/>
  <c r="AD45" i="1" s="1"/>
  <c r="AB24" i="1"/>
  <c r="AB42" i="1" s="1"/>
  <c r="AK24" i="1"/>
  <c r="AK42" i="1" s="1"/>
  <c r="X24" i="1"/>
  <c r="X31" i="1" s="1"/>
  <c r="Y45" i="1" s="1"/>
  <c r="AJ24" i="1"/>
  <c r="AJ31" i="1" s="1"/>
  <c r="AK45" i="1" s="1"/>
  <c r="AA24" i="1"/>
  <c r="AA31" i="1" s="1"/>
  <c r="AB45" i="1" s="1"/>
  <c r="Y16" i="1"/>
  <c r="AH23" i="1" s="1"/>
  <c r="AH30" i="1" s="1"/>
  <c r="AE42" i="1"/>
  <c r="AE31" i="1"/>
  <c r="AF45" i="1" s="1"/>
  <c r="AB31" i="1"/>
  <c r="AC45" i="1" s="1"/>
  <c r="U31" i="1"/>
  <c r="V45" i="1" s="1"/>
  <c r="U42" i="1"/>
  <c r="AL24" i="1"/>
  <c r="AD24" i="1"/>
  <c r="E44" i="1"/>
  <c r="E42" i="1"/>
  <c r="Z24" i="1"/>
  <c r="AH24" i="1"/>
  <c r="AI24" i="1"/>
  <c r="V24" i="1"/>
  <c r="W24" i="1"/>
  <c r="Y24" i="1"/>
  <c r="T24" i="1"/>
  <c r="S24" i="1"/>
  <c r="AG24" i="1"/>
  <c r="X23" i="1"/>
  <c r="X30" i="1" s="1"/>
  <c r="S48" i="1" a="1"/>
  <c r="X42" i="1" l="1"/>
  <c r="Y23" i="1"/>
  <c r="Y30" i="1" s="1"/>
  <c r="AA42" i="1"/>
  <c r="AC42" i="1"/>
  <c r="AF42" i="1"/>
  <c r="AJ42" i="1"/>
  <c r="AK31" i="1"/>
  <c r="AL45" i="1" s="1"/>
  <c r="S48" i="1"/>
  <c r="AC23" i="1"/>
  <c r="AC30" i="1" s="1"/>
  <c r="W42" i="1"/>
  <c r="W31" i="1"/>
  <c r="X45" i="1" s="1"/>
  <c r="Z23" i="1"/>
  <c r="Z30" i="1" s="1"/>
  <c r="V31" i="1"/>
  <c r="W45" i="1" s="1"/>
  <c r="V42" i="1"/>
  <c r="AB23" i="1"/>
  <c r="AB30" i="1" s="1"/>
  <c r="AI23" i="1"/>
  <c r="AI30" i="1" s="1"/>
  <c r="AL31" i="1"/>
  <c r="AL42" i="1"/>
  <c r="AG42" i="1"/>
  <c r="AG31" i="1"/>
  <c r="AH45" i="1" s="1"/>
  <c r="AE23" i="1"/>
  <c r="AE30" i="1" s="1"/>
  <c r="V23" i="1"/>
  <c r="V30" i="1" s="1"/>
  <c r="T23" i="1"/>
  <c r="T30" i="1" s="1"/>
  <c r="AI42" i="1"/>
  <c r="AI31" i="1"/>
  <c r="AJ45" i="1" s="1"/>
  <c r="S31" i="1"/>
  <c r="T45" i="1" s="1"/>
  <c r="S42" i="1"/>
  <c r="S23" i="1"/>
  <c r="S30" i="1" s="1"/>
  <c r="AD23" i="1"/>
  <c r="AD30" i="1" s="1"/>
  <c r="AD42" i="1"/>
  <c r="AD31" i="1"/>
  <c r="AE45" i="1" s="1"/>
  <c r="AH42" i="1"/>
  <c r="AH31" i="1"/>
  <c r="AI45" i="1" s="1"/>
  <c r="Z42" i="1"/>
  <c r="Z31" i="1"/>
  <c r="AA45" i="1" s="1"/>
  <c r="W23" i="1"/>
  <c r="W30" i="1" s="1"/>
  <c r="AF23" i="1"/>
  <c r="AF30" i="1" s="1"/>
  <c r="U23" i="1"/>
  <c r="U30" i="1" s="1"/>
  <c r="T42" i="1"/>
  <c r="T31" i="1"/>
  <c r="U45" i="1" s="1"/>
  <c r="Y31" i="1"/>
  <c r="Z45" i="1" s="1"/>
  <c r="Y42" i="1"/>
  <c r="AK23" i="1"/>
  <c r="AK30" i="1" s="1"/>
  <c r="AJ23" i="1"/>
  <c r="AJ30" i="1" s="1"/>
  <c r="AL23" i="1"/>
  <c r="AL30" i="1" s="1"/>
  <c r="AG23" i="1"/>
  <c r="AG30" i="1" s="1"/>
  <c r="AA23" i="1"/>
  <c r="AA30" i="1" s="1"/>
  <c r="S51" i="1" a="1"/>
  <c r="S50" i="1" a="1"/>
  <c r="R11" i="1"/>
  <c r="AM11" i="1"/>
  <c r="S51" i="1" l="1"/>
  <c r="AM26" i="1"/>
  <c r="AM25" i="1"/>
  <c r="AM27" i="1"/>
  <c r="AM24" i="1"/>
  <c r="AM42" i="1" s="1"/>
  <c r="AM50" i="1" s="1"/>
  <c r="AM23" i="1"/>
  <c r="R26" i="1"/>
  <c r="R25" i="1"/>
  <c r="R27" i="1"/>
  <c r="R24" i="1"/>
  <c r="R42" i="1" s="1"/>
  <c r="R50" i="1" s="1"/>
  <c r="R23" i="1"/>
  <c r="R48" i="1"/>
  <c r="S50" i="1"/>
  <c r="AM48" i="1"/>
  <c r="F49" i="1" l="1"/>
  <c r="E49" i="1"/>
  <c r="D49"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Hovdenes, Jostein - Xylem</author>
  </authors>
  <commentList>
    <comment ref="D43" authorId="0" shapeId="0" xr:uid="{D0739D8A-FC58-4680-9B50-195AF57FAA88}">
      <text>
        <r>
          <rPr>
            <sz val="9"/>
            <color rgb="FF000000"/>
            <rFont val="Tahoma"/>
            <family val="2"/>
          </rPr>
          <t xml:space="preserve">The calculated coefficients can be transferred to the sensor by connecting it Tera Term and pasting the following commands in the terminal window.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<sst xmlns="http://schemas.openxmlformats.org/spreadsheetml/2006/main" count="84" uniqueCount="57">
  <si>
    <t xml:space="preserve"> </t>
  </si>
  <si>
    <t>Point 1</t>
  </si>
  <si>
    <t>Point 2</t>
  </si>
  <si>
    <t>Point 3</t>
  </si>
  <si>
    <t>Point 4</t>
  </si>
  <si>
    <t>Point 5</t>
  </si>
  <si>
    <t>Index</t>
  </si>
  <si>
    <t>Template for calculating relationship between Total Suspended Solids (TTS) and Turbidity</t>
  </si>
  <si>
    <t>Point 6</t>
  </si>
  <si>
    <t>Point 7</t>
  </si>
  <si>
    <t>Point 8</t>
  </si>
  <si>
    <t>Point 9</t>
  </si>
  <si>
    <t>Point 10</t>
  </si>
  <si>
    <t>Point 11</t>
  </si>
  <si>
    <t>Point 12</t>
  </si>
  <si>
    <t>Point 13</t>
  </si>
  <si>
    <t>Point 14</t>
  </si>
  <si>
    <t>Point 15</t>
  </si>
  <si>
    <t>Point 16</t>
  </si>
  <si>
    <t>Point 17</t>
  </si>
  <si>
    <t>Point 18</t>
  </si>
  <si>
    <t>Point 19</t>
  </si>
  <si>
    <t>Point 20</t>
  </si>
  <si>
    <t>TSSCoef</t>
  </si>
  <si>
    <t>Polynomial
Degree</t>
  </si>
  <si>
    <t>Maximum</t>
  </si>
  <si>
    <t>Minimum</t>
  </si>
  <si>
    <t>Standard dev.</t>
  </si>
  <si>
    <t>Transpose Input Data</t>
  </si>
  <si>
    <t>Calculate Fit</t>
  </si>
  <si>
    <t>Calculate Deviation</t>
  </si>
  <si>
    <t>Degree Selection</t>
  </si>
  <si>
    <t>DataPoints#</t>
  </si>
  <si>
    <t>Selected Fit</t>
  </si>
  <si>
    <t>Degree</t>
  </si>
  <si>
    <t>Deviation</t>
  </si>
  <si>
    <t>DropList</t>
  </si>
  <si>
    <t>Fit Deviation (mg/l)</t>
  </si>
  <si>
    <t>Selected Deviation</t>
  </si>
  <si>
    <t>Calculated TSS</t>
  </si>
  <si>
    <t>Turbidity Reading (FTU)</t>
  </si>
  <si>
    <t>TSS
(mg/l)</t>
  </si>
  <si>
    <t>Setup Data Range</t>
  </si>
  <si>
    <t>X</t>
  </si>
  <si>
    <t>Y</t>
  </si>
  <si>
    <t>Ycalc</t>
  </si>
  <si>
    <t>Range for Plotting/Stats</t>
  </si>
  <si>
    <t>Show Extrapolation (%)</t>
  </si>
  <si>
    <t>Turb Input Range</t>
  </si>
  <si>
    <t>Extrapolation Range</t>
  </si>
  <si>
    <t>Extrapolationpoint low</t>
  </si>
  <si>
    <t>Extrapolationpoint high</t>
  </si>
  <si>
    <t>Yextralow</t>
  </si>
  <si>
    <t>Yextrahigh</t>
  </si>
  <si>
    <t xml:space="preserve"> DID-060812-02</t>
  </si>
  <si>
    <t>Text Commands</t>
  </si>
  <si>
    <t>Turbidity and Total Suspended Solids (TSS) both indicate water clarity. The relationship between these parameters depends heavily on the optical properties of the suspended particles. For conditions where the optical scatters have a fairly constant characteristics it might be useful to establish the relationship between turbidity and TSS. This relationship can then be used for calculating TSS where only Turbidity are available. Standard methods and procedure for acquiring TSS data is given in the US EPA 160.2, APHA 2540D or the European standard NF EN 872.
Collect a set of TSS samples with related turbidity measurements that covers a range as wide as possible (from low to high concentration). Preferably these data should collected in-situ at the site. Alternatively the data can be obtain by collecting high turbid water in a suitable water container where parallel TSS samples and turbidity measurements can be done. The collect water can then be diluted to obtain lower turbidity/TTS readings/samples. Note that the Turbidity Sensor 4296 require a distance of approximately 0.8 meters to the facing wall in order to achieve optimal accuracy at low turbidity.
The calculation below requires at least 4 points with TSS and turbidity data. A linear regression will be applied producing coefficients to a polynomial with a degree limited to the number of data points minus 2 and maximum 5. The validity of the relationship is strengthened by entering a higher number of data points.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</si>
</sst>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
    <numFmt numFmtId="165" formatCode="0.000000E+00"/>
    <numFmt numFmtId="166" formatCode="0.0000E+00"/>
    <numFmt numFmtId="167" formatCode="0.000"/>
  </numFmts>
  <fonts count="21" x14ac:knownFonts="1">
    <font>
      <sz val="11"/>
      <color theme="1"/>
      <name val="Calibri"/>
      <family val="2"/>
      <scheme val="minor"/>
    </font>
    <font>
      <sz val="12"/>
      <color theme="1"/>
      <name val="Calibri"/>
      <family val="2"/>
      <scheme val="minor"/>
    </font>
    <font>
      <sz val="14"/>
      <color theme="1"/>
      <name val="Calibri"/>
      <family val="2"/>
      <scheme val="minor"/>
    </font>
    <font>
      <sz val="11"/>
      <color theme="1"/>
      <name val="Arial"/>
      <family val="2"/>
    </font>
    <font>
      <sz val="12"/>
      <color theme="1"/>
      <name val="Arial"/>
      <family val="2"/>
    </font>
    <font>
      <sz val="12"/>
      <name val="Arial"/>
      <family val="2"/>
    </font>
    <font>
      <sz val="14"/>
      <color theme="1"/>
      <name val="Arial"/>
      <family val="2"/>
    </font>
    <font>
      <sz val="9"/>
      <color theme="1"/>
      <name val="Arial"/>
      <family val="2"/>
    </font>
    <font>
      <b/>
      <sz val="14"/>
      <name val="Arial"/>
      <family val="2"/>
    </font>
    <font>
      <sz val="11"/>
      <color theme="1"/>
      <name val="Calibri"/>
      <family val="2"/>
      <scheme val="minor"/>
    </font>
    <font>
      <sz val="8"/>
      <name val="Calibri"/>
      <family val="2"/>
      <scheme val="minor"/>
    </font>
    <font>
      <sz val="16"/>
      <color theme="1"/>
      <name val="Arial"/>
      <family val="2"/>
    </font>
    <font>
      <sz val="10"/>
      <color theme="1"/>
      <name val="Arial"/>
      <family val="2"/>
    </font>
    <font>
      <sz val="11"/>
      <color theme="4" tint="-0.499984740745262"/>
      <name val="Calibri"/>
      <family val="2"/>
      <scheme val="minor"/>
    </font>
    <font>
      <sz val="14"/>
      <color theme="4" tint="-0.499984740745262"/>
      <name val="Calibri"/>
      <family val="2"/>
      <scheme val="minor"/>
    </font>
    <font>
      <sz val="14"/>
      <color theme="4" tint="-0.499984740745262"/>
      <name val="Arial"/>
      <family val="2"/>
    </font>
    <font>
      <sz val="11"/>
      <color theme="4" tint="-0.499984740745262"/>
      <name val="Arial"/>
      <family val="2"/>
    </font>
    <font>
      <sz val="12"/>
      <color theme="4" tint="-0.499984740745262"/>
      <name val="Arial"/>
      <family val="2"/>
    </font>
    <font>
      <sz val="10"/>
      <color theme="4" tint="-0.499984740745262"/>
      <name val="Arial"/>
      <family val="2"/>
    </font>
    <font>
      <sz val="14"/>
      <name val="Arial"/>
      <family val="2"/>
    </font>
    <font>
      <sz val="9"/>
      <color rgb="FF000000"/>
      <name val="Tahoma"/>
      <family val="2"/>
    </font>
  </fonts>
  <fills count="6">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theme="0" tint="-0.249977111117893"/>
        <bgColor indexed="64"/>
      </patternFill>
    </fill>
    <fill>
      <patternFill patternType="solid">
        <fgColor theme="0" tint="-0.34998626667073579"/>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s>
  <cellStyleXfs count="2">
    <xf numFmtId="0" fontId="0" fillId="0" borderId="0"/>
    <xf numFmtId="9" fontId="9" fillId="0" borderId="0" applyFont="0" applyFill="0" applyBorder="0" applyAlignment="0" applyProtection="0"/>
  </cellStyleXfs>
  <cellXfs count="91">
    <xf numFmtId="0" fontId="0" fillId="0" borderId="0" xfId="0"/>
    <xf numFmtId="0" fontId="0" fillId="0" borderId="0" xfId="0" applyProtection="1"/>
    <xf numFmtId="0" fontId="1" fillId="0" borderId="0" xfId="0" applyFont="1" applyProtection="1"/>
    <xf numFmtId="0" fontId="2" fillId="0" borderId="0" xfId="0" applyFont="1" applyProtection="1"/>
    <xf numFmtId="0" fontId="4" fillId="0" borderId="0" xfId="0" applyFont="1" applyProtection="1"/>
    <xf numFmtId="0" fontId="6" fillId="0" borderId="0" xfId="0" applyFont="1" applyProtection="1"/>
    <xf numFmtId="164" fontId="6" fillId="0" borderId="0" xfId="0" applyNumberFormat="1" applyFont="1" applyProtection="1"/>
    <xf numFmtId="9" fontId="6" fillId="0" borderId="0" xfId="1" applyFont="1" applyProtection="1"/>
    <xf numFmtId="0" fontId="4" fillId="4" borderId="1" xfId="0" applyFont="1" applyFill="1" applyBorder="1" applyProtection="1"/>
    <xf numFmtId="2" fontId="4" fillId="0" borderId="0" xfId="0" applyNumberFormat="1" applyFont="1" applyProtection="1"/>
    <xf numFmtId="0" fontId="6" fillId="4" borderId="0" xfId="0" applyFont="1" applyFill="1" applyBorder="1" applyProtection="1"/>
    <xf numFmtId="10" fontId="4" fillId="0" borderId="0" xfId="1" applyNumberFormat="1" applyFont="1" applyProtection="1"/>
    <xf numFmtId="0" fontId="6" fillId="5" borderId="1" xfId="0" applyFont="1" applyFill="1" applyBorder="1" applyProtection="1"/>
    <xf numFmtId="0" fontId="4" fillId="5" borderId="1" xfId="0" applyFont="1" applyFill="1" applyBorder="1" applyProtection="1"/>
    <xf numFmtId="0" fontId="3" fillId="5" borderId="1" xfId="0" applyFont="1" applyFill="1" applyBorder="1" applyProtection="1"/>
    <xf numFmtId="166" fontId="6" fillId="0" borderId="0" xfId="0" applyNumberFormat="1" applyFont="1" applyProtection="1"/>
    <xf numFmtId="1" fontId="12" fillId="0" borderId="0" xfId="0" applyNumberFormat="1" applyFont="1" applyProtection="1"/>
    <xf numFmtId="167" fontId="6" fillId="0" borderId="0" xfId="0" applyNumberFormat="1" applyFont="1" applyProtection="1"/>
    <xf numFmtId="0" fontId="3" fillId="0" borderId="0" xfId="0" applyFont="1" applyProtection="1"/>
    <xf numFmtId="165" fontId="12" fillId="2" borderId="5" xfId="0" applyNumberFormat="1" applyFont="1" applyFill="1" applyBorder="1" applyAlignment="1" applyProtection="1">
      <alignment vertical="center"/>
    </xf>
    <xf numFmtId="165" fontId="12" fillId="2" borderId="6" xfId="0" applyNumberFormat="1" applyFont="1" applyFill="1" applyBorder="1" applyAlignment="1" applyProtection="1">
      <alignment vertical="center"/>
    </xf>
    <xf numFmtId="165" fontId="12" fillId="2" borderId="7" xfId="0" applyNumberFormat="1" applyFont="1" applyFill="1" applyBorder="1" applyAlignment="1" applyProtection="1">
      <alignment vertical="center"/>
    </xf>
    <xf numFmtId="165" fontId="12" fillId="2" borderId="10" xfId="0" applyNumberFormat="1" applyFont="1" applyFill="1" applyBorder="1" applyAlignment="1" applyProtection="1">
      <alignment vertical="center"/>
    </xf>
    <xf numFmtId="165" fontId="12" fillId="2" borderId="11" xfId="0" applyNumberFormat="1" applyFont="1" applyFill="1" applyBorder="1" applyAlignment="1" applyProtection="1">
      <alignment vertical="center"/>
    </xf>
    <xf numFmtId="165" fontId="12" fillId="2" borderId="12" xfId="0" applyNumberFormat="1" applyFont="1" applyFill="1" applyBorder="1" applyAlignment="1" applyProtection="1">
      <alignment vertical="center"/>
    </xf>
    <xf numFmtId="164" fontId="6" fillId="3" borderId="14" xfId="0" applyNumberFormat="1" applyFont="1" applyFill="1" applyBorder="1" applyAlignment="1" applyProtection="1">
      <alignment horizontal="right"/>
      <protection locked="0"/>
    </xf>
    <xf numFmtId="164" fontId="6" fillId="3" borderId="1" xfId="0" applyNumberFormat="1" applyFont="1" applyFill="1" applyBorder="1" applyAlignment="1" applyProtection="1">
      <alignment horizontal="right"/>
      <protection locked="0"/>
    </xf>
    <xf numFmtId="0" fontId="11" fillId="3" borderId="1" xfId="0" applyFont="1" applyFill="1" applyBorder="1" applyProtection="1">
      <protection locked="0"/>
    </xf>
    <xf numFmtId="2" fontId="3" fillId="2" borderId="1" xfId="0" applyNumberFormat="1" applyFont="1" applyFill="1" applyBorder="1" applyProtection="1"/>
    <xf numFmtId="0" fontId="3" fillId="4" borderId="5" xfId="0" applyFont="1" applyFill="1" applyBorder="1" applyProtection="1"/>
    <xf numFmtId="0" fontId="3" fillId="4" borderId="6" xfId="0" applyFont="1" applyFill="1" applyBorder="1" applyProtection="1"/>
    <xf numFmtId="0" fontId="6" fillId="4" borderId="8" xfId="0" applyFont="1" applyFill="1" applyBorder="1" applyProtection="1"/>
    <xf numFmtId="0" fontId="6" fillId="4" borderId="9" xfId="0" applyFont="1" applyFill="1" applyBorder="1" applyProtection="1"/>
    <xf numFmtId="0" fontId="2" fillId="4" borderId="9" xfId="0" applyFont="1" applyFill="1" applyBorder="1" applyProtection="1"/>
    <xf numFmtId="0" fontId="4" fillId="4" borderId="9" xfId="0" applyFont="1" applyFill="1" applyBorder="1" applyProtection="1"/>
    <xf numFmtId="0" fontId="4" fillId="4" borderId="0" xfId="0" applyFont="1" applyFill="1" applyBorder="1" applyProtection="1"/>
    <xf numFmtId="0" fontId="6" fillId="4" borderId="0" xfId="0" applyFont="1" applyFill="1" applyBorder="1" applyAlignment="1" applyProtection="1"/>
    <xf numFmtId="0" fontId="4" fillId="4" borderId="0" xfId="0" quotePrefix="1" applyFont="1" applyFill="1" applyBorder="1" applyProtection="1"/>
    <xf numFmtId="0" fontId="6" fillId="4" borderId="10" xfId="0" applyFont="1" applyFill="1" applyBorder="1" applyProtection="1"/>
    <xf numFmtId="0" fontId="6" fillId="4" borderId="11" xfId="0" applyFont="1" applyFill="1" applyBorder="1" applyProtection="1"/>
    <xf numFmtId="0" fontId="6" fillId="4" borderId="12" xfId="0" applyFont="1" applyFill="1" applyBorder="1" applyProtection="1"/>
    <xf numFmtId="0" fontId="3" fillId="4" borderId="8" xfId="0" applyFont="1" applyFill="1" applyBorder="1" applyProtection="1"/>
    <xf numFmtId="0" fontId="3" fillId="4" borderId="0" xfId="0" applyFont="1" applyFill="1" applyBorder="1" applyProtection="1"/>
    <xf numFmtId="0" fontId="7" fillId="4" borderId="6" xfId="0" applyFont="1" applyFill="1" applyBorder="1" applyProtection="1"/>
    <xf numFmtId="0" fontId="8" fillId="4" borderId="6" xfId="0" applyFont="1" applyFill="1" applyBorder="1" applyAlignment="1" applyProtection="1">
      <alignment horizontal="right"/>
    </xf>
    <xf numFmtId="0" fontId="8" fillId="4" borderId="7" xfId="0" applyFont="1" applyFill="1" applyBorder="1" applyAlignment="1" applyProtection="1">
      <alignment horizontal="right"/>
    </xf>
    <xf numFmtId="0" fontId="6" fillId="4" borderId="0" xfId="0" applyFont="1" applyFill="1" applyBorder="1" applyAlignment="1" applyProtection="1">
      <alignment horizontal="right"/>
    </xf>
    <xf numFmtId="0" fontId="6" fillId="4" borderId="9" xfId="0" applyFont="1" applyFill="1" applyBorder="1" applyAlignment="1" applyProtection="1">
      <alignment horizontal="right"/>
    </xf>
    <xf numFmtId="0" fontId="5" fillId="4" borderId="0" xfId="0" applyFont="1" applyFill="1" applyBorder="1" applyAlignment="1" applyProtection="1">
      <alignment horizontal="right"/>
    </xf>
    <xf numFmtId="0" fontId="2" fillId="4" borderId="0" xfId="0" applyFont="1" applyFill="1" applyBorder="1" applyProtection="1"/>
    <xf numFmtId="2" fontId="6" fillId="0" borderId="0" xfId="0" applyNumberFormat="1" applyFont="1" applyProtection="1"/>
    <xf numFmtId="0" fontId="13" fillId="0" borderId="0" xfId="0" applyFont="1" applyProtection="1"/>
    <xf numFmtId="0" fontId="14" fillId="0" borderId="0" xfId="0" applyFont="1" applyProtection="1"/>
    <xf numFmtId="0" fontId="15" fillId="0" borderId="0" xfId="0" applyFont="1" applyProtection="1"/>
    <xf numFmtId="167" fontId="14" fillId="0" borderId="0" xfId="0" applyNumberFormat="1" applyFont="1" applyProtection="1"/>
    <xf numFmtId="0" fontId="16" fillId="0" borderId="0" xfId="0" applyFont="1" applyProtection="1"/>
    <xf numFmtId="167" fontId="15" fillId="0" borderId="0" xfId="0" applyNumberFormat="1" applyFont="1" applyProtection="1"/>
    <xf numFmtId="0" fontId="17" fillId="0" borderId="0" xfId="0" applyFont="1" applyProtection="1"/>
    <xf numFmtId="1" fontId="18" fillId="0" borderId="0" xfId="0" applyNumberFormat="1" applyFont="1" applyProtection="1"/>
    <xf numFmtId="0" fontId="19" fillId="0" borderId="0" xfId="0" applyFont="1" applyProtection="1"/>
    <xf numFmtId="165" fontId="12" fillId="2" borderId="0" xfId="0" applyNumberFormat="1" applyFont="1" applyFill="1" applyBorder="1" applyAlignment="1" applyProtection="1">
      <alignment vertical="center"/>
    </xf>
    <xf numFmtId="165" fontId="3" fillId="2" borderId="13" xfId="0" applyNumberFormat="1" applyFont="1" applyFill="1" applyBorder="1" applyProtection="1"/>
    <xf numFmtId="165" fontId="12" fillId="2" borderId="8" xfId="0" applyNumberFormat="1" applyFont="1" applyFill="1" applyBorder="1" applyAlignment="1" applyProtection="1">
      <alignment vertical="center"/>
    </xf>
    <xf numFmtId="165" fontId="12" fillId="2" borderId="9" xfId="0" applyNumberFormat="1" applyFont="1" applyFill="1" applyBorder="1" applyAlignment="1" applyProtection="1">
      <alignment vertical="center"/>
    </xf>
    <xf numFmtId="0" fontId="6" fillId="5" borderId="13" xfId="0" applyFont="1" applyFill="1" applyBorder="1" applyAlignment="1" applyProtection="1">
      <alignment wrapText="1"/>
    </xf>
    <xf numFmtId="0" fontId="0" fillId="5" borderId="14" xfId="0" applyFill="1" applyBorder="1" applyAlignment="1"/>
    <xf numFmtId="0" fontId="6" fillId="4" borderId="2" xfId="0" applyFont="1" applyFill="1" applyBorder="1" applyProtection="1"/>
    <xf numFmtId="0" fontId="6" fillId="4" borderId="3" xfId="0" applyFont="1" applyFill="1" applyBorder="1" applyProtection="1"/>
    <xf numFmtId="0" fontId="6" fillId="4" borderId="4" xfId="0" applyFont="1" applyFill="1" applyBorder="1" applyProtection="1"/>
    <xf numFmtId="15" fontId="5" fillId="4" borderId="0" xfId="0" applyNumberFormat="1" applyFont="1" applyFill="1" applyBorder="1" applyAlignment="1" applyProtection="1">
      <alignment horizontal="right"/>
    </xf>
    <xf numFmtId="0" fontId="5" fillId="4" borderId="0" xfId="0" applyFont="1" applyFill="1" applyBorder="1" applyAlignment="1" applyProtection="1">
      <alignment horizontal="right"/>
    </xf>
    <xf numFmtId="0" fontId="0" fillId="4" borderId="0" xfId="0" applyFill="1" applyBorder="1" applyAlignment="1" applyProtection="1"/>
    <xf numFmtId="0" fontId="6" fillId="5" borderId="5" xfId="0" applyFont="1" applyFill="1" applyBorder="1" applyAlignment="1" applyProtection="1"/>
    <xf numFmtId="0" fontId="0" fillId="0" borderId="10" xfId="0" applyBorder="1" applyAlignment="1"/>
    <xf numFmtId="0" fontId="6" fillId="5" borderId="13" xfId="0" applyFont="1" applyFill="1" applyBorder="1" applyAlignment="1" applyProtection="1">
      <alignment horizontal="left" wrapText="1"/>
    </xf>
    <xf numFmtId="0" fontId="6" fillId="5" borderId="14" xfId="0" applyFont="1" applyFill="1" applyBorder="1" applyAlignment="1" applyProtection="1">
      <alignment horizontal="left" wrapText="1"/>
    </xf>
    <xf numFmtId="0" fontId="6" fillId="5" borderId="14" xfId="0" applyFont="1" applyFill="1" applyBorder="1" applyAlignment="1" applyProtection="1">
      <alignment horizontal="left"/>
    </xf>
    <xf numFmtId="0" fontId="6" fillId="5" borderId="15" xfId="0" applyFont="1" applyFill="1" applyBorder="1" applyAlignment="1" applyProtection="1">
      <alignment wrapText="1"/>
    </xf>
    <xf numFmtId="0" fontId="6" fillId="5" borderId="14" xfId="0" applyFont="1" applyFill="1" applyBorder="1" applyAlignment="1" applyProtection="1">
      <alignment wrapText="1"/>
    </xf>
    <xf numFmtId="0" fontId="6" fillId="4" borderId="5" xfId="0" applyFont="1" applyFill="1" applyBorder="1" applyAlignment="1" applyProtection="1">
      <alignment wrapText="1"/>
    </xf>
    <xf numFmtId="0" fontId="6" fillId="4" borderId="8" xfId="0" applyFont="1" applyFill="1" applyBorder="1" applyAlignment="1" applyProtection="1">
      <alignment wrapText="1"/>
    </xf>
    <xf numFmtId="0" fontId="6" fillId="4" borderId="10" xfId="0" applyFont="1" applyFill="1" applyBorder="1" applyAlignment="1" applyProtection="1">
      <alignment wrapText="1"/>
    </xf>
    <xf numFmtId="0" fontId="6" fillId="5" borderId="5" xfId="0" applyFont="1" applyFill="1" applyBorder="1" applyAlignment="1" applyProtection="1">
      <alignment vertical="top" wrapText="1"/>
    </xf>
    <xf numFmtId="0" fontId="6" fillId="5" borderId="6" xfId="0" applyFont="1" applyFill="1" applyBorder="1" applyAlignment="1" applyProtection="1">
      <alignment vertical="top" wrapText="1"/>
    </xf>
    <xf numFmtId="0" fontId="6" fillId="5" borderId="7" xfId="0" applyFont="1" applyFill="1" applyBorder="1" applyAlignment="1" applyProtection="1">
      <alignment vertical="top" wrapText="1"/>
    </xf>
    <xf numFmtId="0" fontId="6" fillId="5" borderId="8" xfId="0" applyFont="1" applyFill="1" applyBorder="1" applyAlignment="1" applyProtection="1">
      <alignment vertical="top" wrapText="1"/>
    </xf>
    <xf numFmtId="0" fontId="6" fillId="5" borderId="0" xfId="0" applyFont="1" applyFill="1" applyBorder="1" applyAlignment="1" applyProtection="1">
      <alignment vertical="top" wrapText="1"/>
    </xf>
    <xf numFmtId="0" fontId="6" fillId="5" borderId="9" xfId="0" applyFont="1" applyFill="1" applyBorder="1" applyAlignment="1" applyProtection="1">
      <alignment vertical="top" wrapText="1"/>
    </xf>
    <xf numFmtId="0" fontId="6" fillId="5" borderId="10" xfId="0" applyFont="1" applyFill="1" applyBorder="1" applyAlignment="1" applyProtection="1">
      <alignment vertical="top" wrapText="1"/>
    </xf>
    <xf numFmtId="0" fontId="6" fillId="5" borderId="11" xfId="0" applyFont="1" applyFill="1" applyBorder="1" applyAlignment="1" applyProtection="1">
      <alignment vertical="top" wrapText="1"/>
    </xf>
    <xf numFmtId="0" fontId="6" fillId="5" borderId="12" xfId="0" applyFont="1" applyFill="1" applyBorder="1" applyAlignment="1" applyProtection="1">
      <alignment vertical="top" wrapText="1"/>
    </xf>
  </cellXfs>
  <cellStyles count="2">
    <cellStyle name="Normal" xfId="0" builtinId="0"/>
    <cellStyle name="Percent" xfId="1" builtinId="5"/>
  </cellStyles>
  <dxfs count="3">
    <dxf>
      <fill>
        <patternFill>
          <bgColor rgb="FFFF0000"/>
        </patternFill>
      </fill>
    </dxf>
    <dxf>
      <fill>
        <patternFill>
          <bgColor rgb="FFFF0000"/>
        </patternFill>
      </fill>
    </dxf>
    <dxf>
      <fill>
        <patternFill>
          <bgColor theme="9" tint="0.3999450666829432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789670509502901"/>
          <c:y val="5.2107790587392122E-2"/>
          <c:w val="0.82959658203191189"/>
          <c:h val="0.72258503059292944"/>
        </c:manualLayout>
      </c:layout>
      <c:scatterChart>
        <c:scatterStyle val="smoothMarker"/>
        <c:varyColors val="0"/>
        <c:ser>
          <c:idx val="0"/>
          <c:order val="0"/>
          <c:tx>
            <c:v>Input Data</c:v>
          </c:tx>
          <c:spPr>
            <a:ln w="19050" cap="rnd">
              <a:noFill/>
              <a:round/>
            </a:ln>
            <a:effectLst/>
          </c:spPr>
          <c:marker>
            <c:symbol val="diamond"/>
            <c:size val="5"/>
            <c:spPr>
              <a:solidFill>
                <a:schemeClr val="tx1"/>
              </a:solidFill>
              <a:ln w="9525">
                <a:solidFill>
                  <a:schemeClr val="tx1"/>
                </a:solidFill>
              </a:ln>
              <a:effectLst/>
            </c:spPr>
          </c:marker>
          <c:xVal>
            <c:numRef>
              <c:f>Calibration!$C$19:$C$38</c:f>
              <c:numCache>
                <c:formatCode>0.0</c:formatCode>
                <c:ptCount val="20"/>
                <c:pt idx="0">
                  <c:v>1</c:v>
                </c:pt>
                <c:pt idx="1">
                  <c:v>3</c:v>
                </c:pt>
                <c:pt idx="2">
                  <c:v>5</c:v>
                </c:pt>
                <c:pt idx="3">
                  <c:v>9</c:v>
                </c:pt>
              </c:numCache>
            </c:numRef>
          </c:xVal>
          <c:yVal>
            <c:numRef>
              <c:f>Calibration!$D$19:$D$38</c:f>
              <c:numCache>
                <c:formatCode>0.0</c:formatCode>
                <c:ptCount val="20"/>
                <c:pt idx="0">
                  <c:v>0.1</c:v>
                </c:pt>
                <c:pt idx="1">
                  <c:v>0.5</c:v>
                </c:pt>
                <c:pt idx="2">
                  <c:v>0.8</c:v>
                </c:pt>
                <c:pt idx="3">
                  <c:v>1.2</c:v>
                </c:pt>
              </c:numCache>
            </c:numRef>
          </c:yVal>
          <c:smooth val="1"/>
          <c:extLst>
            <c:ext xmlns:c16="http://schemas.microsoft.com/office/drawing/2014/chart" uri="{C3380CC4-5D6E-409C-BE32-E72D297353CC}">
              <c16:uniqueId val="{00000000-A67C-48CD-9FB1-867D713B149F}"/>
            </c:ext>
          </c:extLst>
        </c:ser>
        <c:ser>
          <c:idx val="2"/>
          <c:order val="1"/>
          <c:tx>
            <c:strRef>
              <c:f>Calibration!$P$22</c:f>
              <c:strCache>
                <c:ptCount val="1"/>
                <c:pt idx="0">
                  <c:v>Calculated TSS</c:v>
                </c:pt>
              </c:strCache>
            </c:strRef>
          </c:tx>
          <c:spPr>
            <a:ln w="19050" cap="rnd">
              <a:solidFill>
                <a:srgbClr val="00B0F0"/>
              </a:solidFill>
              <a:round/>
            </a:ln>
            <a:effectLst/>
          </c:spPr>
          <c:marker>
            <c:symbol val="circle"/>
            <c:size val="5"/>
            <c:spPr>
              <a:solidFill>
                <a:schemeClr val="accent4"/>
              </a:solidFill>
              <a:ln w="9525">
                <a:solidFill>
                  <a:srgbClr val="00B0F0"/>
                </a:solidFill>
              </a:ln>
              <a:effectLst/>
            </c:spPr>
          </c:marker>
          <c:xVal>
            <c:numRef>
              <c:f>Calibration!$R$48:$AM$48</c:f>
              <c:numCache>
                <c:formatCode>0.000</c:formatCode>
                <c:ptCount val="22"/>
                <c:pt idx="0">
                  <c:v>-0.19999999999999996</c:v>
                </c:pt>
                <c:pt idx="1">
                  <c:v>1</c:v>
                </c:pt>
                <c:pt idx="2">
                  <c:v>3</c:v>
                </c:pt>
                <c:pt idx="3">
                  <c:v>5</c:v>
                </c:pt>
                <c:pt idx="4">
                  <c:v>9</c:v>
                </c:pt>
                <c:pt idx="21">
                  <c:v>10.199999999999999</c:v>
                </c:pt>
              </c:numCache>
            </c:numRef>
          </c:xVal>
          <c:yVal>
            <c:numRef>
              <c:f>Calibration!$R$50:$AM$50</c:f>
              <c:numCache>
                <c:formatCode>0.000</c:formatCode>
                <c:ptCount val="22"/>
                <c:pt idx="0">
                  <c:v>-0.16836363636363644</c:v>
                </c:pt>
                <c:pt idx="1">
                  <c:v>0.10272727272727269</c:v>
                </c:pt>
                <c:pt idx="2">
                  <c:v>0.49272727272727279</c:v>
                </c:pt>
                <c:pt idx="3">
                  <c:v>0.80545454545454531</c:v>
                </c:pt>
                <c:pt idx="4">
                  <c:v>1.1990909090909088</c:v>
                </c:pt>
                <c:pt idx="21">
                  <c:v>1.2569090909090901</c:v>
                </c:pt>
              </c:numCache>
            </c:numRef>
          </c:yVal>
          <c:smooth val="1"/>
          <c:extLst>
            <c:ext xmlns:c16="http://schemas.microsoft.com/office/drawing/2014/chart" uri="{C3380CC4-5D6E-409C-BE32-E72D297353CC}">
              <c16:uniqueId val="{00000002-A67C-48CD-9FB1-867D713B149F}"/>
            </c:ext>
          </c:extLst>
        </c:ser>
        <c:dLbls>
          <c:showLegendKey val="0"/>
          <c:showVal val="0"/>
          <c:showCatName val="0"/>
          <c:showSerName val="0"/>
          <c:showPercent val="0"/>
          <c:showBubbleSize val="0"/>
        </c:dLbls>
        <c:axId val="-916077232"/>
        <c:axId val="-916075600"/>
      </c:scatterChart>
      <c:valAx>
        <c:axId val="-916077232"/>
        <c:scaling>
          <c:orientation val="minMax"/>
          <c:min val="0"/>
        </c:scaling>
        <c:delete val="0"/>
        <c:axPos val="b"/>
        <c:majorGridlines>
          <c:spPr>
            <a:ln w="9525" cap="flat" cmpd="sng" algn="ctr">
              <a:solidFill>
                <a:schemeClr val="bg1">
                  <a:lumMod val="50000"/>
                </a:schemeClr>
              </a:solidFill>
              <a:round/>
            </a:ln>
            <a:effectLst/>
          </c:spPr>
        </c:majorGridlines>
        <c:title>
          <c:tx>
            <c:rich>
              <a:bodyPr rot="0" spcFirstLastPara="1" vertOverflow="ellipsis" vert="horz" wrap="square" anchor="ctr" anchorCtr="1"/>
              <a:lstStyle/>
              <a:p>
                <a:pPr>
                  <a:defRPr sz="1400" b="0" i="0" u="none" strike="noStrike" kern="1200" baseline="0">
                    <a:solidFill>
                      <a:sysClr val="windowText" lastClr="000000"/>
                    </a:solidFill>
                    <a:latin typeface="+mn-lt"/>
                    <a:ea typeface="+mn-ea"/>
                    <a:cs typeface="+mn-cs"/>
                  </a:defRPr>
                </a:pPr>
                <a:r>
                  <a:rPr lang="en-US">
                    <a:solidFill>
                      <a:sysClr val="windowText" lastClr="000000"/>
                    </a:solidFill>
                  </a:rPr>
                  <a:t>Turbidity(FTU)</a:t>
                </a:r>
              </a:p>
            </c:rich>
          </c:tx>
          <c:overlay val="0"/>
          <c:spPr>
            <a:noFill/>
            <a:ln>
              <a:noFill/>
            </a:ln>
            <a:effectLst/>
          </c:spPr>
          <c:txPr>
            <a:bodyPr rot="0" spcFirstLastPara="1" vertOverflow="ellipsis" vert="horz" wrap="square" anchor="ctr" anchorCtr="1"/>
            <a:lstStyle/>
            <a:p>
              <a:pPr>
                <a:defRPr sz="1400" b="0" i="0" u="none" strike="noStrike" kern="1200" baseline="0">
                  <a:solidFill>
                    <a:sysClr val="windowText" lastClr="000000"/>
                  </a:solidFill>
                  <a:latin typeface="+mn-lt"/>
                  <a:ea typeface="+mn-ea"/>
                  <a:cs typeface="+mn-cs"/>
                </a:defRPr>
              </a:pPr>
              <a:endParaRPr lang="nb-NO"/>
            </a:p>
          </c:txPr>
        </c:title>
        <c:numFmt formatCode="0.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1400" b="0" i="0" u="none" strike="noStrike" kern="1200" baseline="0">
                <a:solidFill>
                  <a:sysClr val="windowText" lastClr="000000"/>
                </a:solidFill>
                <a:latin typeface="+mn-lt"/>
                <a:ea typeface="+mn-ea"/>
                <a:cs typeface="+mn-cs"/>
              </a:defRPr>
            </a:pPr>
            <a:endParaRPr lang="nb-NO"/>
          </a:p>
        </c:txPr>
        <c:crossAx val="-916075600"/>
        <c:crosses val="autoZero"/>
        <c:crossBetween val="midCat"/>
      </c:valAx>
      <c:valAx>
        <c:axId val="-916075600"/>
        <c:scaling>
          <c:orientation val="minMax"/>
        </c:scaling>
        <c:delete val="0"/>
        <c:axPos val="l"/>
        <c:majorGridlines>
          <c:spPr>
            <a:ln w="9525" cap="flat" cmpd="sng" algn="ctr">
              <a:solidFill>
                <a:schemeClr val="bg1">
                  <a:lumMod val="50000"/>
                </a:schemeClr>
              </a:solidFill>
              <a:round/>
            </a:ln>
            <a:effectLst/>
          </c:spPr>
        </c:majorGridlines>
        <c:title>
          <c:tx>
            <c:rich>
              <a:bodyPr rot="-5400000" spcFirstLastPara="1" vertOverflow="ellipsis" vert="horz" wrap="square" anchor="ctr" anchorCtr="1"/>
              <a:lstStyle/>
              <a:p>
                <a:pPr>
                  <a:defRPr sz="1400" b="0" i="0" u="none" strike="noStrike" kern="1200" baseline="0">
                    <a:solidFill>
                      <a:sysClr val="windowText" lastClr="000000"/>
                    </a:solidFill>
                    <a:latin typeface="+mn-lt"/>
                    <a:ea typeface="+mn-ea"/>
                    <a:cs typeface="+mn-cs"/>
                  </a:defRPr>
                </a:pPr>
                <a:r>
                  <a:rPr lang="en-US">
                    <a:solidFill>
                      <a:sysClr val="windowText" lastClr="000000"/>
                    </a:solidFill>
                  </a:rPr>
                  <a:t>TSS (mg/l)</a:t>
                </a:r>
              </a:p>
            </c:rich>
          </c:tx>
          <c:overlay val="0"/>
          <c:spPr>
            <a:noFill/>
            <a:ln>
              <a:noFill/>
            </a:ln>
            <a:effectLst/>
          </c:spPr>
          <c:txPr>
            <a:bodyPr rot="-5400000" spcFirstLastPara="1" vertOverflow="ellipsis" vert="horz" wrap="square" anchor="ctr" anchorCtr="1"/>
            <a:lstStyle/>
            <a:p>
              <a:pPr>
                <a:defRPr sz="1400" b="0" i="0" u="none" strike="noStrike" kern="1200" baseline="0">
                  <a:solidFill>
                    <a:sysClr val="windowText" lastClr="000000"/>
                  </a:solidFill>
                  <a:latin typeface="+mn-lt"/>
                  <a:ea typeface="+mn-ea"/>
                  <a:cs typeface="+mn-cs"/>
                </a:defRPr>
              </a:pPr>
              <a:endParaRPr lang="nb-NO"/>
            </a:p>
          </c:txPr>
        </c:title>
        <c:numFmt formatCode="0.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1400" b="0" i="0" u="none" strike="noStrike" kern="1200" baseline="0">
                <a:solidFill>
                  <a:sysClr val="windowText" lastClr="000000"/>
                </a:solidFill>
                <a:latin typeface="+mn-lt"/>
                <a:ea typeface="+mn-ea"/>
                <a:cs typeface="+mn-cs"/>
              </a:defRPr>
            </a:pPr>
            <a:endParaRPr lang="nb-NO"/>
          </a:p>
        </c:txPr>
        <c:crossAx val="-916077232"/>
        <c:crosses val="autoZero"/>
        <c:crossBetween val="midCat"/>
      </c:valAx>
      <c:spPr>
        <a:solidFill>
          <a:schemeClr val="bg1"/>
        </a:solidFill>
        <a:ln>
          <a:noFill/>
        </a:ln>
        <a:effectLst/>
      </c:spPr>
    </c:plotArea>
    <c:legend>
      <c:legendPos val="r"/>
      <c:layout>
        <c:manualLayout>
          <c:xMode val="edge"/>
          <c:yMode val="edge"/>
          <c:x val="0.65701755838282949"/>
          <c:y val="0.6363172978754964"/>
          <c:w val="0.24069619122834657"/>
          <c:h val="9.6546778506592282E-2"/>
        </c:manualLayout>
      </c:layout>
      <c:overlay val="0"/>
      <c:spPr>
        <a:solidFill>
          <a:schemeClr val="bg1">
            <a:lumMod val="75000"/>
          </a:schemeClr>
        </a:solidFill>
        <a:ln>
          <a:noFill/>
        </a:ln>
        <a:effectLst/>
      </c:spPr>
      <c:txPr>
        <a:bodyPr rot="0" spcFirstLastPara="1" vertOverflow="ellipsis" vert="horz" wrap="square" anchor="ctr" anchorCtr="1"/>
        <a:lstStyle/>
        <a:p>
          <a:pPr>
            <a:defRPr sz="1400" b="0" i="0" u="none" strike="noStrike" kern="1200" baseline="0">
              <a:solidFill>
                <a:sysClr val="windowText" lastClr="000000"/>
              </a:solidFill>
              <a:latin typeface="+mn-lt"/>
              <a:ea typeface="+mn-ea"/>
              <a:cs typeface="+mn-cs"/>
            </a:defRPr>
          </a:pPr>
          <a:endParaRPr lang="nb-NO"/>
        </a:p>
      </c:txPr>
    </c:legend>
    <c:plotVisOnly val="0"/>
    <c:dispBlanksAs val="span"/>
    <c:showDLblsOverMax val="0"/>
  </c:chart>
  <c:spPr>
    <a:gradFill>
      <a:gsLst>
        <a:gs pos="0">
          <a:schemeClr val="bg1">
            <a:lumMod val="65000"/>
          </a:schemeClr>
        </a:gs>
        <a:gs pos="74000">
          <a:schemeClr val="bg1">
            <a:lumMod val="65000"/>
          </a:schemeClr>
        </a:gs>
        <a:gs pos="100000">
          <a:schemeClr val="bg1">
            <a:lumMod val="85000"/>
          </a:schemeClr>
        </a:gs>
      </a:gsLst>
      <a:lin ang="5400000" scaled="1"/>
    </a:gradFill>
    <a:ln w="9525" cap="flat" cmpd="sng" algn="ctr">
      <a:solidFill>
        <a:schemeClr val="tx1"/>
      </a:solidFill>
      <a:round/>
    </a:ln>
    <a:effectLst/>
  </c:spPr>
  <c:txPr>
    <a:bodyPr/>
    <a:lstStyle/>
    <a:p>
      <a:pPr>
        <a:defRPr sz="1400"/>
      </a:pPr>
      <a:endParaRPr lang="nb-N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chart" Target="../charts/chart1.xml"/><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66675</xdr:colOff>
      <xdr:row>0</xdr:row>
      <xdr:rowOff>38100</xdr:rowOff>
    </xdr:from>
    <xdr:to>
      <xdr:col>2</xdr:col>
      <xdr:colOff>54769</xdr:colOff>
      <xdr:row>2</xdr:row>
      <xdr:rowOff>95265</xdr:rowOff>
    </xdr:to>
    <xdr:pic>
      <xdr:nvPicPr>
        <xdr:cNvPr id="3" name="Picture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a:stretch>
          <a:fillRect/>
        </a:stretch>
      </xdr:blipFill>
      <xdr:spPr>
        <a:xfrm>
          <a:off x="66675" y="228600"/>
          <a:ext cx="1885950" cy="511964"/>
        </a:xfrm>
        <a:prstGeom prst="rect">
          <a:avLst/>
        </a:prstGeom>
      </xdr:spPr>
    </xdr:pic>
    <xdr:clientData/>
  </xdr:twoCellAnchor>
  <xdr:twoCellAnchor>
    <xdr:from>
      <xdr:col>4</xdr:col>
      <xdr:colOff>234762</xdr:colOff>
      <xdr:row>16</xdr:row>
      <xdr:rowOff>17508</xdr:rowOff>
    </xdr:from>
    <xdr:to>
      <xdr:col>11</xdr:col>
      <xdr:colOff>1035843</xdr:colOff>
      <xdr:row>38</xdr:row>
      <xdr:rowOff>23812</xdr:rowOff>
    </xdr:to>
    <xdr:graphicFrame macro="">
      <xdr:nvGraphicFramePr>
        <xdr:cNvPr id="2" name="Chart 1">
          <a:extLst>
            <a:ext uri="{FF2B5EF4-FFF2-40B4-BE49-F238E27FC236}">
              <a16:creationId xmlns:a16="http://schemas.microsoft.com/office/drawing/2014/main" id="{00000000-0008-0000-00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12</xdr:col>
      <xdr:colOff>419100</xdr:colOff>
      <xdr:row>0</xdr:row>
      <xdr:rowOff>25400</xdr:rowOff>
    </xdr:from>
    <xdr:to>
      <xdr:col>12</xdr:col>
      <xdr:colOff>444500</xdr:colOff>
      <xdr:row>0</xdr:row>
      <xdr:rowOff>50800</xdr:rowOff>
    </xdr:to>
    <xdr:sp macro="" textlink="">
      <xdr:nvSpPr>
        <xdr:cNvPr id="1049" name="UnhideSheet"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9040000}"/>
            </a:ext>
          </a:extLst>
        </xdr:cNvPr>
        <xdr:cNvSpPr/>
      </xdr:nvSpPr>
      <xdr:spPr bwMode="auto">
        <a:xfrm>
          <a:off x="0" y="0"/>
          <a:ext cx="0" cy="0"/>
        </a:xfrm>
        <a:prstGeom prst="rect">
          <a:avLst/>
        </a:prstGeom>
        <a:noFill/>
        <a:ln>
          <a:noFill/>
        </a:ln>
        <a:effectLst/>
        <a:extLst>
          <a:ext uri="{91240B29-F687-4F45-9708-019B960494DF}">
            <a14:hiddenLine xmlns:a14="http://schemas.microsoft.com/office/drawing/2010/main" w="1">
              <a:noFill/>
              <a:miter lim="800000"/>
              <a:headEnd/>
              <a:tailEnd/>
            </a14:hiddenLine>
          </a:ex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fPrintsWithSheet="0"/>
  </xdr:twoCellAnchor>
  <xdr:twoCellAnchor editAs="oneCell">
    <xdr:from>
      <xdr:col>12</xdr:col>
      <xdr:colOff>314325</xdr:colOff>
      <xdr:row>0</xdr:row>
      <xdr:rowOff>19050</xdr:rowOff>
    </xdr:from>
    <xdr:to>
      <xdr:col>12</xdr:col>
      <xdr:colOff>333375</xdr:colOff>
      <xdr:row>0</xdr:row>
      <xdr:rowOff>38100</xdr:rowOff>
    </xdr:to>
    <xdr:pic>
      <xdr:nvPicPr>
        <xdr:cNvPr id="4" name="UnhideSheet">
          <a:extLst>
            <a:ext uri="{FF2B5EF4-FFF2-40B4-BE49-F238E27FC236}">
              <a16:creationId xmlns:a16="http://schemas.microsoft.com/office/drawing/2014/main" id="{117DC948-B494-4AC6-8350-90BF11EC7511}"/>
            </a:ext>
          </a:extLst>
        </xdr:cNvPr>
        <xdr:cNvPicPr preferRelativeResize="0">
          <a:picLocks noChangeArrowheads="1" noChangeShapeType="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3077825" y="19050"/>
          <a:ext cx="19050" cy="19050"/>
        </a:xfrm>
        <a:prstGeom prst="rect">
          <a:avLst/>
        </a:prstGeom>
        <a:noFill/>
        <a:ln>
          <a:noFill/>
        </a:ln>
        <a:effectLst/>
        <a:extLst>
          <a:ext uri="{91240B29-F687-4F45-9708-019B960494DF}">
            <a14:hiddenLine xmlns:a14="http://schemas.microsoft.com/office/drawing/2010/main" w="9525">
              <a:noFill/>
              <a:miter lim="800000"/>
              <a:headEnd/>
              <a:tailEnd/>
            </a14:hiddenLine>
          </a:ex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pic>
    <xdr:clientData fPrintsWithSheet="0"/>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A1:AW84"/>
  <sheetViews>
    <sheetView tabSelected="1" zoomScaleNormal="100" workbookViewId="0">
      <selection activeCell="D23" sqref="D23"/>
    </sheetView>
  </sheetViews>
  <sheetFormatPr defaultColWidth="0" defaultRowHeight="15.75" zeroHeight="1" x14ac:dyDescent="0.25"/>
  <cols>
    <col min="1" max="1" width="9.140625" style="1" customWidth="1"/>
    <col min="2" max="2" width="19.140625" style="1" customWidth="1"/>
    <col min="3" max="3" width="18" style="1" customWidth="1"/>
    <col min="4" max="12" width="16.42578125" style="1" customWidth="1"/>
    <col min="13" max="13" width="9.140625" style="1" customWidth="1"/>
    <col min="14" max="15" width="9.140625" style="1" hidden="1" customWidth="1"/>
    <col min="16" max="16" width="31" style="1" hidden="1" customWidth="1"/>
    <col min="17" max="17" width="28.42578125" style="1" hidden="1" customWidth="1"/>
    <col min="18" max="18" width="19.7109375" style="51" hidden="1" customWidth="1"/>
    <col min="19" max="19" width="31.42578125" style="1" hidden="1" customWidth="1"/>
    <col min="20" max="33" width="19.7109375" style="1" hidden="1" customWidth="1"/>
    <col min="34" max="34" width="19.7109375" style="2" hidden="1" customWidth="1"/>
    <col min="35" max="38" width="19.7109375" style="1" hidden="1" customWidth="1"/>
    <col min="39" max="39" width="19.7109375" style="51" hidden="1" customWidth="1"/>
    <col min="40" max="45" width="19.7109375" style="1" hidden="1" customWidth="1"/>
    <col min="46" max="48" width="20.85546875" style="1" hidden="1" customWidth="1"/>
    <col min="49" max="49" width="4.7109375" style="1" hidden="1" customWidth="1"/>
    <col min="50" max="16384" width="9.140625" style="1" hidden="1"/>
  </cols>
  <sheetData>
    <row r="1" spans="1:39" ht="18.75" x14ac:dyDescent="0.3">
      <c r="A1" s="29"/>
      <c r="B1" s="30"/>
      <c r="C1" s="30"/>
      <c r="D1" s="30"/>
      <c r="E1" s="30"/>
      <c r="F1" s="30"/>
      <c r="G1" s="30"/>
      <c r="H1" s="30"/>
      <c r="I1" s="30"/>
      <c r="J1" s="43"/>
      <c r="K1" s="43"/>
      <c r="L1" s="44" t="s">
        <v>7</v>
      </c>
      <c r="M1" s="45"/>
      <c r="P1" s="5" t="s">
        <v>32</v>
      </c>
      <c r="R1" s="51" t="s">
        <v>50</v>
      </c>
      <c r="T1" s="5" t="s">
        <v>31</v>
      </c>
      <c r="U1" s="5"/>
      <c r="V1" s="5"/>
      <c r="W1" s="5"/>
      <c r="X1"/>
      <c r="Y1" t="s">
        <v>42</v>
      </c>
      <c r="Z1" s="5" t="s">
        <v>43</v>
      </c>
      <c r="AA1" s="5" t="str">
        <f>ADDRESS(ROW(S11),COLUMN(S11))&amp;":"&amp;ADDRESS(ROW(S11),COLUMN(S11)+P2-1)</f>
        <v>$S$11:$V$11</v>
      </c>
      <c r="AB1" s="5"/>
      <c r="AC1" s="5" t="s">
        <v>48</v>
      </c>
      <c r="AD1" s="5"/>
      <c r="AE1" s="5"/>
      <c r="AF1" s="5"/>
      <c r="AG1" s="5"/>
      <c r="AH1" s="3"/>
      <c r="AI1" s="5"/>
      <c r="AJ1" s="3"/>
      <c r="AK1" s="5"/>
      <c r="AL1" s="5"/>
      <c r="AM1" s="51" t="s">
        <v>51</v>
      </c>
    </row>
    <row r="2" spans="1:39" ht="18" x14ac:dyDescent="0.25">
      <c r="A2" s="41"/>
      <c r="B2" s="42"/>
      <c r="C2" s="42"/>
      <c r="D2" s="42"/>
      <c r="E2" s="42"/>
      <c r="F2" s="42"/>
      <c r="G2" s="42"/>
      <c r="H2" s="42" t="s">
        <v>0</v>
      </c>
      <c r="I2" s="42"/>
      <c r="J2" s="42"/>
      <c r="K2" s="42"/>
      <c r="L2" s="46" t="s">
        <v>54</v>
      </c>
      <c r="M2" s="47"/>
      <c r="P2" s="5">
        <f>INT(COUNT(C19:D38)/2)</f>
        <v>4</v>
      </c>
      <c r="T2" s="5"/>
      <c r="U2" s="5"/>
      <c r="V2" s="5" t="s">
        <v>36</v>
      </c>
      <c r="W2" s="5" t="s">
        <v>32</v>
      </c>
      <c r="X2"/>
      <c r="Y2" s="5"/>
      <c r="Z2" s="5" t="s">
        <v>44</v>
      </c>
      <c r="AA2" s="5" t="str">
        <f>ADDRESS(ROW(S12),COLUMN(S12))&amp;":"&amp;ADDRESS(ROW(S12),COLUMN(S12)+P2-1)</f>
        <v>$S$12:$V$12</v>
      </c>
      <c r="AB2" s="5"/>
      <c r="AC2" s="5"/>
      <c r="AD2" s="5" t="s">
        <v>49</v>
      </c>
      <c r="AE2" s="5"/>
      <c r="AF2" s="5"/>
      <c r="AG2" s="5"/>
      <c r="AH2" s="5"/>
      <c r="AI2" s="5"/>
      <c r="AJ2" s="5"/>
      <c r="AK2" s="5"/>
      <c r="AL2" s="5"/>
    </row>
    <row r="3" spans="1:39" ht="18.75" x14ac:dyDescent="0.3">
      <c r="A3" s="41"/>
      <c r="B3" s="42"/>
      <c r="C3" s="42"/>
      <c r="D3" s="42"/>
      <c r="E3" s="42"/>
      <c r="F3" s="42" t="s">
        <v>0</v>
      </c>
      <c r="G3" s="42"/>
      <c r="H3" s="42"/>
      <c r="I3" s="42"/>
      <c r="J3" s="69">
        <v>44503</v>
      </c>
      <c r="K3" s="70"/>
      <c r="L3" s="71"/>
      <c r="M3" s="33"/>
      <c r="P3" s="3"/>
      <c r="Q3" s="3"/>
      <c r="R3" s="52"/>
      <c r="S3" s="3"/>
      <c r="T3" s="5"/>
      <c r="U3" s="5"/>
      <c r="V3" s="5"/>
      <c r="W3" s="5">
        <f>INT(COUNT(C19:D38)/2)</f>
        <v>4</v>
      </c>
      <c r="X3"/>
      <c r="Y3" s="5"/>
      <c r="Z3" s="1" t="s">
        <v>45</v>
      </c>
      <c r="AA3" s="5" t="str">
        <f>ADDRESS(ROW(S42),COLUMN(S42))&amp;":"&amp;ADDRESS(ROW(S42),COLUMN(S42)+P2-1)</f>
        <v>$S$42:$V$42</v>
      </c>
      <c r="AB3" s="5"/>
      <c r="AC3" s="6">
        <f>MAX(C19:C38)-MIN(C19:C38)</f>
        <v>8</v>
      </c>
      <c r="AD3" s="50">
        <f>AC3*B49/100</f>
        <v>1.2</v>
      </c>
      <c r="AE3" s="5"/>
      <c r="AF3" s="5"/>
      <c r="AG3" s="5"/>
      <c r="AH3" s="5"/>
      <c r="AI3" s="5"/>
      <c r="AJ3" s="5"/>
      <c r="AK3" s="5"/>
      <c r="AL3" s="5"/>
      <c r="AM3" s="52"/>
    </row>
    <row r="4" spans="1:39" ht="18.75" x14ac:dyDescent="0.3">
      <c r="A4" s="41"/>
      <c r="B4" s="42"/>
      <c r="C4" s="42"/>
      <c r="D4" s="42"/>
      <c r="E4" s="42"/>
      <c r="F4" s="10"/>
      <c r="G4" s="42"/>
      <c r="H4" s="42"/>
      <c r="I4" s="42"/>
      <c r="J4" s="42"/>
      <c r="K4" s="48"/>
      <c r="L4" s="49"/>
      <c r="M4" s="33"/>
      <c r="P4" s="3"/>
      <c r="Q4" s="3"/>
      <c r="R4" s="52"/>
      <c r="S4" s="3"/>
      <c r="T4" s="5"/>
      <c r="U4" s="5"/>
      <c r="V4" s="5">
        <f>IF($W$3&gt;2,1,"")</f>
        <v>1</v>
      </c>
      <c r="W4" s="5"/>
      <c r="X4"/>
      <c r="Y4" s="5"/>
      <c r="Z4" s="5" t="s">
        <v>35</v>
      </c>
      <c r="AA4" s="5" t="str">
        <f>ADDRESS(ROW(S45),COLUMN(S45))&amp;":"&amp;ADDRESS(ROW(S45),COLUMN(S45)+P2-1)</f>
        <v>$S$45:$V$45</v>
      </c>
      <c r="AB4" s="5"/>
      <c r="AC4" s="5"/>
      <c r="AD4" s="5"/>
      <c r="AE4" s="5"/>
      <c r="AF4" s="5"/>
      <c r="AG4" s="5"/>
      <c r="AH4" s="5"/>
      <c r="AI4" s="5"/>
      <c r="AJ4" s="5"/>
      <c r="AK4" s="5"/>
      <c r="AL4" s="5"/>
      <c r="AM4" s="52"/>
    </row>
    <row r="5" spans="1:39" s="3" customFormat="1" ht="18.75" customHeight="1" x14ac:dyDescent="0.3">
      <c r="A5" s="31"/>
      <c r="B5" s="82" t="s">
        <v>56</v>
      </c>
      <c r="C5" s="83"/>
      <c r="D5" s="83"/>
      <c r="E5" s="83"/>
      <c r="F5" s="83"/>
      <c r="G5" s="83"/>
      <c r="H5" s="83"/>
      <c r="I5" s="83"/>
      <c r="J5" s="83"/>
      <c r="K5" s="83"/>
      <c r="L5" s="84"/>
      <c r="M5" s="32"/>
      <c r="R5" s="52"/>
      <c r="T5" s="5"/>
      <c r="U5" s="5"/>
      <c r="V5" s="5">
        <f>IF($W$3&gt;3,2,"")</f>
        <v>2</v>
      </c>
      <c r="W5" s="5"/>
      <c r="X5"/>
      <c r="Y5" s="5"/>
      <c r="Z5" s="5" t="s">
        <v>52</v>
      </c>
      <c r="AA5" s="5" t="str">
        <f>ADDRESS(ROW(R42),COLUMN(R42))&amp;":"&amp;ADDRESS(ROW(R42),COLUMN(R42)+P2-1)</f>
        <v>$R$42:$U$42</v>
      </c>
      <c r="AB5" s="5"/>
      <c r="AC5" s="5"/>
      <c r="AD5" s="5"/>
      <c r="AE5" s="5"/>
      <c r="AF5" s="5"/>
      <c r="AG5" s="5"/>
      <c r="AH5" s="5"/>
      <c r="AI5" s="5"/>
      <c r="AJ5" s="5"/>
      <c r="AK5" s="5"/>
      <c r="AL5" s="5"/>
      <c r="AM5" s="52"/>
    </row>
    <row r="6" spans="1:39" s="3" customFormat="1" ht="18.75" x14ac:dyDescent="0.3">
      <c r="A6" s="31"/>
      <c r="B6" s="85"/>
      <c r="C6" s="86"/>
      <c r="D6" s="86"/>
      <c r="E6" s="86"/>
      <c r="F6" s="86"/>
      <c r="G6" s="86"/>
      <c r="H6" s="86"/>
      <c r="I6" s="86"/>
      <c r="J6" s="86"/>
      <c r="K6" s="86"/>
      <c r="L6" s="87"/>
      <c r="M6" s="33"/>
      <c r="R6" s="52"/>
      <c r="T6" s="5"/>
      <c r="U6" s="5"/>
      <c r="V6" s="5" t="str">
        <f>IF($W$3&gt;4,3,"")</f>
        <v/>
      </c>
      <c r="W6" s="7"/>
      <c r="X6"/>
      <c r="Y6" s="5"/>
      <c r="Z6" s="5" t="s">
        <v>53</v>
      </c>
      <c r="AA6" s="5"/>
      <c r="AB6" s="5"/>
      <c r="AC6" s="5"/>
      <c r="AD6" s="5"/>
      <c r="AE6" s="5"/>
      <c r="AF6" s="5"/>
      <c r="AG6" s="5"/>
      <c r="AH6" s="5"/>
      <c r="AI6" s="5"/>
      <c r="AJ6" s="5"/>
      <c r="AK6" s="5"/>
      <c r="AL6" s="5"/>
      <c r="AM6" s="52"/>
    </row>
    <row r="7" spans="1:39" s="3" customFormat="1" ht="18.75" x14ac:dyDescent="0.3">
      <c r="A7" s="31"/>
      <c r="B7" s="85"/>
      <c r="C7" s="86"/>
      <c r="D7" s="86"/>
      <c r="E7" s="86"/>
      <c r="F7" s="86"/>
      <c r="G7" s="86"/>
      <c r="H7" s="86"/>
      <c r="I7" s="86"/>
      <c r="J7" s="86"/>
      <c r="K7" s="86"/>
      <c r="L7" s="87"/>
      <c r="M7" s="32"/>
      <c r="R7" s="52"/>
      <c r="T7" s="4"/>
      <c r="U7" s="4"/>
      <c r="V7" s="5" t="str">
        <f>IF($W$3&gt;5,4,"")</f>
        <v/>
      </c>
      <c r="W7" s="5"/>
      <c r="X7"/>
      <c r="Y7" s="5"/>
      <c r="Z7" s="5"/>
      <c r="AA7" s="5"/>
      <c r="AB7" s="5"/>
      <c r="AC7" s="5"/>
      <c r="AD7" s="5"/>
      <c r="AE7" s="5"/>
      <c r="AF7" s="5"/>
      <c r="AG7" s="5"/>
      <c r="AH7" s="5"/>
      <c r="AI7" s="5"/>
      <c r="AJ7" s="5"/>
      <c r="AK7" s="5"/>
      <c r="AL7" s="5"/>
      <c r="AM7" s="52"/>
    </row>
    <row r="8" spans="1:39" s="3" customFormat="1" ht="18.75" x14ac:dyDescent="0.3">
      <c r="A8" s="31"/>
      <c r="B8" s="85"/>
      <c r="C8" s="86"/>
      <c r="D8" s="86"/>
      <c r="E8" s="86"/>
      <c r="F8" s="86"/>
      <c r="G8" s="86"/>
      <c r="H8" s="86"/>
      <c r="I8" s="86"/>
      <c r="J8" s="86"/>
      <c r="K8" s="86"/>
      <c r="L8" s="87"/>
      <c r="M8" s="33"/>
      <c r="P8" s="5"/>
      <c r="Q8" s="5"/>
      <c r="R8" s="53"/>
      <c r="S8" s="5"/>
      <c r="T8" s="4"/>
      <c r="U8" s="4"/>
      <c r="V8" s="5" t="str">
        <f>IF($W$3&gt;6,5,"")</f>
        <v/>
      </c>
      <c r="W8" s="5"/>
      <c r="X8"/>
      <c r="Y8" s="5"/>
      <c r="Z8" s="5"/>
      <c r="AA8" s="5"/>
      <c r="AB8" s="5"/>
      <c r="AC8" s="5"/>
      <c r="AD8" s="5"/>
      <c r="AE8" s="5"/>
      <c r="AF8" s="5"/>
      <c r="AG8" s="5"/>
      <c r="AH8" s="5"/>
      <c r="AI8" s="5"/>
      <c r="AJ8" s="5"/>
      <c r="AK8" s="5"/>
      <c r="AL8" s="5"/>
      <c r="AM8" s="53"/>
    </row>
    <row r="9" spans="1:39" s="3" customFormat="1" ht="18.75" customHeight="1" x14ac:dyDescent="0.3">
      <c r="A9" s="31"/>
      <c r="B9" s="85"/>
      <c r="C9" s="86"/>
      <c r="D9" s="86"/>
      <c r="E9" s="86"/>
      <c r="F9" s="86"/>
      <c r="G9" s="86"/>
      <c r="H9" s="86"/>
      <c r="I9" s="86"/>
      <c r="J9" s="86"/>
      <c r="K9" s="86"/>
      <c r="L9" s="87"/>
      <c r="M9" s="33"/>
      <c r="P9" s="5" t="s">
        <v>28</v>
      </c>
      <c r="Q9" s="5"/>
      <c r="R9" s="53"/>
      <c r="S9" s="5"/>
      <c r="T9" s="5"/>
      <c r="U9" s="5"/>
      <c r="V9" s="5"/>
      <c r="W9" s="5"/>
      <c r="X9" s="5"/>
      <c r="Y9" s="5"/>
      <c r="Z9" s="5"/>
      <c r="AA9" s="5"/>
      <c r="AB9" s="5"/>
      <c r="AC9" s="5"/>
      <c r="AD9" s="5"/>
      <c r="AE9" s="5"/>
      <c r="AF9" s="5"/>
      <c r="AG9" s="5"/>
      <c r="AH9" s="5"/>
      <c r="AI9" s="5"/>
      <c r="AJ9" s="5"/>
      <c r="AK9" s="5"/>
      <c r="AL9" s="5"/>
      <c r="AM9" s="53"/>
    </row>
    <row r="10" spans="1:39" s="5" customFormat="1" ht="18" x14ac:dyDescent="0.25">
      <c r="A10" s="31"/>
      <c r="B10" s="85"/>
      <c r="C10" s="86"/>
      <c r="D10" s="86"/>
      <c r="E10" s="86"/>
      <c r="F10" s="86"/>
      <c r="G10" s="86"/>
      <c r="H10" s="86"/>
      <c r="I10" s="86"/>
      <c r="J10" s="86"/>
      <c r="K10" s="86"/>
      <c r="L10" s="87"/>
      <c r="M10" s="34"/>
      <c r="R10" s="53"/>
      <c r="AM10" s="53"/>
    </row>
    <row r="11" spans="1:39" s="5" customFormat="1" ht="18.75" x14ac:dyDescent="0.3">
      <c r="A11" s="31"/>
      <c r="B11" s="85"/>
      <c r="C11" s="86"/>
      <c r="D11" s="86"/>
      <c r="E11" s="86"/>
      <c r="F11" s="86"/>
      <c r="G11" s="86"/>
      <c r="H11" s="86"/>
      <c r="I11" s="86"/>
      <c r="J11" s="86"/>
      <c r="K11" s="86"/>
      <c r="L11" s="87"/>
      <c r="M11" s="34"/>
      <c r="P11" s="4"/>
      <c r="Q11" s="3" t="s">
        <v>40</v>
      </c>
      <c r="R11" s="54">
        <f ca="1">MIN(INDIRECT(AA1))-AD3</f>
        <v>-0.19999999999999996</v>
      </c>
      <c r="S11" s="17" cm="1">
        <f t="array" ref="S11:AL12">TRANSPOSE(C19:D38)</f>
        <v>1</v>
      </c>
      <c r="T11" s="17">
        <v>3</v>
      </c>
      <c r="U11" s="17">
        <v>5</v>
      </c>
      <c r="V11" s="17">
        <v>9</v>
      </c>
      <c r="W11" s="17">
        <v>0</v>
      </c>
      <c r="X11" s="17">
        <v>0</v>
      </c>
      <c r="Y11" s="17">
        <v>0</v>
      </c>
      <c r="Z11" s="17">
        <v>0</v>
      </c>
      <c r="AA11" s="17">
        <v>0</v>
      </c>
      <c r="AB11" s="17">
        <v>0</v>
      </c>
      <c r="AC11" s="17">
        <v>0</v>
      </c>
      <c r="AD11" s="17">
        <v>0</v>
      </c>
      <c r="AE11" s="17">
        <v>0</v>
      </c>
      <c r="AF11" s="17">
        <v>0</v>
      </c>
      <c r="AG11" s="17">
        <v>0</v>
      </c>
      <c r="AH11" s="17">
        <v>0</v>
      </c>
      <c r="AI11" s="17">
        <v>0</v>
      </c>
      <c r="AJ11" s="17">
        <v>0</v>
      </c>
      <c r="AK11" s="17">
        <v>0</v>
      </c>
      <c r="AL11" s="17">
        <v>0</v>
      </c>
      <c r="AM11" s="54">
        <f ca="1">MAX(INDIRECT(AA1))+AD3</f>
        <v>10.199999999999999</v>
      </c>
    </row>
    <row r="12" spans="1:39" s="5" customFormat="1" ht="18" x14ac:dyDescent="0.25">
      <c r="A12" s="31"/>
      <c r="B12" s="85"/>
      <c r="C12" s="86"/>
      <c r="D12" s="86"/>
      <c r="E12" s="86"/>
      <c r="F12" s="86"/>
      <c r="G12" s="86"/>
      <c r="H12" s="86"/>
      <c r="I12" s="86"/>
      <c r="J12" s="86"/>
      <c r="K12" s="86"/>
      <c r="L12" s="87"/>
      <c r="M12" s="34"/>
      <c r="Q12" s="1" t="s">
        <v>41</v>
      </c>
      <c r="R12" s="51"/>
      <c r="S12" s="17">
        <v>0.1</v>
      </c>
      <c r="T12" s="17">
        <v>0.5</v>
      </c>
      <c r="U12" s="17">
        <v>0.8</v>
      </c>
      <c r="V12" s="17">
        <v>1.2</v>
      </c>
      <c r="W12" s="17">
        <v>0</v>
      </c>
      <c r="X12" s="17">
        <v>0</v>
      </c>
      <c r="Y12" s="17">
        <v>0</v>
      </c>
      <c r="Z12" s="17">
        <v>0</v>
      </c>
      <c r="AA12" s="17">
        <v>0</v>
      </c>
      <c r="AB12" s="17">
        <v>0</v>
      </c>
      <c r="AC12" s="17">
        <v>0</v>
      </c>
      <c r="AD12" s="17">
        <v>0</v>
      </c>
      <c r="AE12" s="17">
        <v>0</v>
      </c>
      <c r="AF12" s="17">
        <v>0</v>
      </c>
      <c r="AG12" s="17">
        <v>0</v>
      </c>
      <c r="AH12" s="17">
        <v>0</v>
      </c>
      <c r="AI12" s="17">
        <v>0</v>
      </c>
      <c r="AJ12" s="17">
        <v>0</v>
      </c>
      <c r="AK12" s="17">
        <v>0</v>
      </c>
      <c r="AL12" s="17">
        <v>0</v>
      </c>
      <c r="AM12" s="51"/>
    </row>
    <row r="13" spans="1:39" s="5" customFormat="1" ht="18" x14ac:dyDescent="0.25">
      <c r="A13" s="31"/>
      <c r="B13" s="85"/>
      <c r="C13" s="86"/>
      <c r="D13" s="86"/>
      <c r="E13" s="86"/>
      <c r="F13" s="86"/>
      <c r="G13" s="86"/>
      <c r="H13" s="86"/>
      <c r="I13" s="86"/>
      <c r="J13" s="86"/>
      <c r="K13" s="86"/>
      <c r="L13" s="87"/>
      <c r="M13" s="34"/>
      <c r="R13" s="53"/>
      <c r="AF13" s="59"/>
      <c r="AM13" s="53"/>
    </row>
    <row r="14" spans="1:39" s="5" customFormat="1" ht="18" x14ac:dyDescent="0.25">
      <c r="A14" s="31"/>
      <c r="B14" s="85"/>
      <c r="C14" s="86"/>
      <c r="D14" s="86"/>
      <c r="E14" s="86"/>
      <c r="F14" s="86"/>
      <c r="G14" s="86"/>
      <c r="H14" s="86"/>
      <c r="I14" s="86"/>
      <c r="J14" s="86"/>
      <c r="K14" s="86"/>
      <c r="L14" s="87"/>
      <c r="M14" s="34"/>
      <c r="R14" s="53"/>
      <c r="AM14" s="53"/>
    </row>
    <row r="15" spans="1:39" s="5" customFormat="1" ht="18" x14ac:dyDescent="0.25">
      <c r="A15" s="31"/>
      <c r="B15" s="88"/>
      <c r="C15" s="89"/>
      <c r="D15" s="89"/>
      <c r="E15" s="89"/>
      <c r="F15" s="89"/>
      <c r="G15" s="89"/>
      <c r="H15" s="89"/>
      <c r="I15" s="89"/>
      <c r="J15" s="89"/>
      <c r="K15" s="89"/>
      <c r="L15" s="90"/>
      <c r="M15" s="34"/>
      <c r="P15" s="5" t="s">
        <v>29</v>
      </c>
      <c r="R15" s="53"/>
      <c r="T15" s="18" t="s">
        <v>34</v>
      </c>
      <c r="AM15" s="53"/>
    </row>
    <row r="16" spans="1:39" s="5" customFormat="1" ht="18" x14ac:dyDescent="0.25">
      <c r="A16" s="31"/>
      <c r="B16" s="10"/>
      <c r="C16" s="10"/>
      <c r="D16" s="10" t="s">
        <v>0</v>
      </c>
      <c r="E16" s="10" t="s">
        <v>0</v>
      </c>
      <c r="F16" s="10"/>
      <c r="G16" s="10"/>
      <c r="H16" s="10"/>
      <c r="I16" s="10"/>
      <c r="J16" s="10"/>
      <c r="K16" s="10"/>
      <c r="L16" s="35"/>
      <c r="M16" s="34"/>
      <c r="R16" s="53"/>
      <c r="T16" s="5">
        <v>1</v>
      </c>
      <c r="Y16" s="15" cm="1">
        <f t="array" aca="1" ref="Y16:Z16" ca="1">LINEST(INDIRECT(AA2),INDIRECT(AA1)^{1},TRUE,FALSE)</f>
        <v>0.13428571428571429</v>
      </c>
      <c r="Z16" s="15">
        <f ca="1"/>
        <v>4.5714285714285596E-2</v>
      </c>
      <c r="AM16" s="53"/>
    </row>
    <row r="17" spans="1:39" s="5" customFormat="1" ht="21" customHeight="1" x14ac:dyDescent="0.25">
      <c r="A17" s="31"/>
      <c r="B17" s="72"/>
      <c r="C17" s="74" t="s">
        <v>40</v>
      </c>
      <c r="D17" s="74" t="s">
        <v>41</v>
      </c>
      <c r="E17" s="10"/>
      <c r="F17" s="10"/>
      <c r="G17" s="10"/>
      <c r="H17" s="10"/>
      <c r="I17" s="10"/>
      <c r="J17" s="35"/>
      <c r="K17" s="35"/>
      <c r="L17" s="10"/>
      <c r="M17" s="32"/>
      <c r="R17" s="53"/>
      <c r="T17" s="5">
        <v>2</v>
      </c>
      <c r="X17" s="15" cm="1">
        <f t="array" aca="1" ref="X17:Z17" ca="1">LINEST(INDIRECT(AA2),INDIRECT(AA1)^{1;2},TRUE,FALSE)</f>
        <v>-9.6590909090909227E-3</v>
      </c>
      <c r="Y17" s="15">
        <f ca="1"/>
        <v>0.2336363636363637</v>
      </c>
      <c r="Z17" s="15">
        <f ca="1"/>
        <v>-0.12125000000000008</v>
      </c>
      <c r="AM17" s="53"/>
    </row>
    <row r="18" spans="1:39" s="5" customFormat="1" ht="36" customHeight="1" x14ac:dyDescent="0.25">
      <c r="A18" s="31"/>
      <c r="B18" s="73"/>
      <c r="C18" s="75"/>
      <c r="D18" s="76"/>
      <c r="E18" s="10"/>
      <c r="F18" s="10"/>
      <c r="G18" s="10"/>
      <c r="H18" s="10"/>
      <c r="I18" s="10" t="s">
        <v>0</v>
      </c>
      <c r="J18" s="10"/>
      <c r="K18" s="10"/>
      <c r="L18" s="10"/>
      <c r="M18" s="32"/>
      <c r="R18" s="53"/>
      <c r="T18" s="5">
        <v>3</v>
      </c>
      <c r="W18" s="15" cm="1">
        <f t="array" aca="1" ref="W18:Z18" ca="1">LINEST(INDIRECT(AA2),INDIRECT(AA1)^{1;2;3},TRUE,FALSE)</f>
        <v>5.2083333333332975E-4</v>
      </c>
      <c r="X18" s="15">
        <f ca="1"/>
        <v>-1.7187499999999956E-2</v>
      </c>
      <c r="Y18" s="15">
        <f ca="1"/>
        <v>0.26197916666666654</v>
      </c>
      <c r="Z18" s="15">
        <f ca="1"/>
        <v>-0.1453124999999999</v>
      </c>
      <c r="AM18" s="53"/>
    </row>
    <row r="19" spans="1:39" s="5" customFormat="1" ht="21" customHeight="1" x14ac:dyDescent="0.25">
      <c r="A19" s="31"/>
      <c r="B19" s="12" t="s">
        <v>1</v>
      </c>
      <c r="C19" s="25">
        <v>1</v>
      </c>
      <c r="D19" s="25">
        <v>0.1</v>
      </c>
      <c r="E19" s="10"/>
      <c r="F19" s="10"/>
      <c r="G19" s="10"/>
      <c r="H19" s="10"/>
      <c r="I19" s="10"/>
      <c r="J19" s="10"/>
      <c r="K19" s="35"/>
      <c r="L19" s="35"/>
      <c r="M19" s="34"/>
      <c r="R19" s="53"/>
      <c r="T19" s="5">
        <v>4</v>
      </c>
      <c r="V19" s="15" cm="1">
        <f t="array" aca="1" ref="V19:Z19" ca="1">LINEST(INDIRECT(AA2),INDIRECT(AA1)^{1;2;3;4},TRUE,FALSE)</f>
        <v>1.1800863363363389E-3</v>
      </c>
      <c r="W19" s="15">
        <f ca="1"/>
        <v>-2.0720720720720752E-2</v>
      </c>
      <c r="X19" s="15">
        <f ca="1"/>
        <v>0.10554147897897904</v>
      </c>
      <c r="Y19" s="15">
        <f ca="1"/>
        <v>0</v>
      </c>
      <c r="Z19" s="15">
        <f ca="1"/>
        <v>1.3999155405405972E-2</v>
      </c>
      <c r="AM19" s="53"/>
    </row>
    <row r="20" spans="1:39" s="5" customFormat="1" ht="21" customHeight="1" x14ac:dyDescent="0.25">
      <c r="A20" s="31" t="s">
        <v>0</v>
      </c>
      <c r="B20" s="12" t="s">
        <v>2</v>
      </c>
      <c r="C20" s="26">
        <v>3</v>
      </c>
      <c r="D20" s="25">
        <v>0.5</v>
      </c>
      <c r="E20" s="10"/>
      <c r="F20" s="10"/>
      <c r="G20" s="10" t="s">
        <v>0</v>
      </c>
      <c r="H20" s="10"/>
      <c r="I20" s="10"/>
      <c r="J20" s="35"/>
      <c r="K20" s="36"/>
      <c r="L20" s="10"/>
      <c r="M20" s="32"/>
      <c r="R20" s="53"/>
      <c r="T20" s="5">
        <v>5</v>
      </c>
      <c r="U20" s="15" cm="1">
        <f t="array" aca="1" ref="U20:Z20" ca="1">LINEST(INDIRECT(AA2),INDIRECT(AA1)^{1;2;3;4;5},TRUE,FALSE)</f>
        <v>6.6479991866226214E-4</v>
      </c>
      <c r="V20" s="15">
        <f ca="1"/>
        <v>-1.0382041978776301E-2</v>
      </c>
      <c r="W20" s="15">
        <f ca="1"/>
        <v>4.11416068456089E-2</v>
      </c>
      <c r="X20" s="15">
        <f ca="1"/>
        <v>0</v>
      </c>
      <c r="Y20" s="15">
        <f ca="1"/>
        <v>0</v>
      </c>
      <c r="Z20" s="15">
        <f ca="1"/>
        <v>6.8575635214507713E-2</v>
      </c>
      <c r="AM20" s="53"/>
    </row>
    <row r="21" spans="1:39" s="5" customFormat="1" ht="21" customHeight="1" x14ac:dyDescent="0.25">
      <c r="A21" s="31"/>
      <c r="B21" s="12" t="s">
        <v>3</v>
      </c>
      <c r="C21" s="26">
        <v>5</v>
      </c>
      <c r="D21" s="25">
        <v>0.8</v>
      </c>
      <c r="E21" s="10"/>
      <c r="F21" s="10"/>
      <c r="G21" s="10"/>
      <c r="H21" s="10"/>
      <c r="I21" s="10"/>
      <c r="J21" s="35"/>
      <c r="K21" s="10"/>
      <c r="L21" s="10"/>
      <c r="M21" s="32"/>
      <c r="R21" s="53"/>
      <c r="AM21" s="53"/>
    </row>
    <row r="22" spans="1:39" s="5" customFormat="1" ht="21" customHeight="1" x14ac:dyDescent="0.25">
      <c r="A22" s="31"/>
      <c r="B22" s="12" t="s">
        <v>4</v>
      </c>
      <c r="C22" s="26">
        <v>9</v>
      </c>
      <c r="D22" s="25">
        <v>1.2</v>
      </c>
      <c r="E22" s="10"/>
      <c r="F22" s="10"/>
      <c r="G22" s="10"/>
      <c r="H22" s="10"/>
      <c r="I22" s="10"/>
      <c r="J22" s="35"/>
      <c r="K22" s="36"/>
      <c r="L22" s="10"/>
      <c r="M22" s="32"/>
      <c r="P22" s="5" t="s">
        <v>39</v>
      </c>
      <c r="Q22" s="18" t="s">
        <v>34</v>
      </c>
      <c r="R22" s="55"/>
      <c r="AM22" s="55"/>
    </row>
    <row r="23" spans="1:39" s="5" customFormat="1" ht="21" customHeight="1" x14ac:dyDescent="0.25">
      <c r="A23" s="31"/>
      <c r="B23" s="12" t="s">
        <v>5</v>
      </c>
      <c r="C23" s="26"/>
      <c r="D23" s="25"/>
      <c r="E23" s="10"/>
      <c r="F23" s="10" t="s">
        <v>0</v>
      </c>
      <c r="G23" s="10"/>
      <c r="H23" s="35"/>
      <c r="I23" s="10"/>
      <c r="J23" s="10"/>
      <c r="K23" s="35"/>
      <c r="L23" s="35"/>
      <c r="M23" s="34"/>
      <c r="Q23" s="5">
        <v>1</v>
      </c>
      <c r="R23" s="56">
        <f t="shared" ref="R23" ca="1" si="0">($Z$16+$Y$16*R11)</f>
        <v>1.8857142857142746E-2</v>
      </c>
      <c r="S23" s="17">
        <f t="shared" ref="S23:AM23" ca="1" si="1">($Z$16+$Y$16*S11)</f>
        <v>0.17999999999999988</v>
      </c>
      <c r="T23" s="17">
        <f t="shared" ca="1" si="1"/>
        <v>0.44857142857142845</v>
      </c>
      <c r="U23" s="17">
        <f t="shared" ca="1" si="1"/>
        <v>0.71714285714285708</v>
      </c>
      <c r="V23" s="17">
        <f t="shared" ca="1" si="1"/>
        <v>1.2542857142857142</v>
      </c>
      <c r="W23" s="17">
        <f t="shared" ca="1" si="1"/>
        <v>4.5714285714285596E-2</v>
      </c>
      <c r="X23" s="17">
        <f t="shared" ca="1" si="1"/>
        <v>4.5714285714285596E-2</v>
      </c>
      <c r="Y23" s="17">
        <f t="shared" ca="1" si="1"/>
        <v>4.5714285714285596E-2</v>
      </c>
      <c r="Z23" s="17">
        <f t="shared" ca="1" si="1"/>
        <v>4.5714285714285596E-2</v>
      </c>
      <c r="AA23" s="17">
        <f t="shared" ca="1" si="1"/>
        <v>4.5714285714285596E-2</v>
      </c>
      <c r="AB23" s="17">
        <f t="shared" ca="1" si="1"/>
        <v>4.5714285714285596E-2</v>
      </c>
      <c r="AC23" s="17">
        <f t="shared" ca="1" si="1"/>
        <v>4.5714285714285596E-2</v>
      </c>
      <c r="AD23" s="17">
        <f t="shared" ca="1" si="1"/>
        <v>4.5714285714285596E-2</v>
      </c>
      <c r="AE23" s="17">
        <f t="shared" ca="1" si="1"/>
        <v>4.5714285714285596E-2</v>
      </c>
      <c r="AF23" s="17">
        <f t="shared" ca="1" si="1"/>
        <v>4.5714285714285596E-2</v>
      </c>
      <c r="AG23" s="17">
        <f t="shared" ca="1" si="1"/>
        <v>4.5714285714285596E-2</v>
      </c>
      <c r="AH23" s="17">
        <f t="shared" ca="1" si="1"/>
        <v>4.5714285714285596E-2</v>
      </c>
      <c r="AI23" s="17">
        <f t="shared" ca="1" si="1"/>
        <v>4.5714285714285596E-2</v>
      </c>
      <c r="AJ23" s="17">
        <f t="shared" ca="1" si="1"/>
        <v>4.5714285714285596E-2</v>
      </c>
      <c r="AK23" s="17">
        <f t="shared" ca="1" si="1"/>
        <v>4.5714285714285596E-2</v>
      </c>
      <c r="AL23" s="17">
        <f t="shared" ca="1" si="1"/>
        <v>4.5714285714285596E-2</v>
      </c>
      <c r="AM23" s="56">
        <f t="shared" ca="1" si="1"/>
        <v>1.4154285714285713</v>
      </c>
    </row>
    <row r="24" spans="1:39" s="5" customFormat="1" ht="21" customHeight="1" x14ac:dyDescent="0.25">
      <c r="A24" s="31"/>
      <c r="B24" s="12" t="s">
        <v>8</v>
      </c>
      <c r="C24" s="25"/>
      <c r="D24" s="25"/>
      <c r="E24" s="10"/>
      <c r="F24" s="10"/>
      <c r="G24" s="10"/>
      <c r="H24" s="10"/>
      <c r="I24" s="10"/>
      <c r="J24" s="10"/>
      <c r="K24" s="35"/>
      <c r="L24" s="35"/>
      <c r="M24" s="34"/>
      <c r="Q24" s="5">
        <v>2</v>
      </c>
      <c r="R24" s="56">
        <f t="shared" ref="R24" ca="1" si="2">($Z$17+$Y$17*R11+$X$17*R11^2)</f>
        <v>-0.16836363636363644</v>
      </c>
      <c r="S24" s="17">
        <f t="shared" ref="S24:AM24" ca="1" si="3">($Z$17+$Y$17*S11+$X$17*S11^2)</f>
        <v>0.10272727272727269</v>
      </c>
      <c r="T24" s="17">
        <f t="shared" ca="1" si="3"/>
        <v>0.49272727272727279</v>
      </c>
      <c r="U24" s="17">
        <f t="shared" ca="1" si="3"/>
        <v>0.80545454545454531</v>
      </c>
      <c r="V24" s="17">
        <f t="shared" ca="1" si="3"/>
        <v>1.1990909090909088</v>
      </c>
      <c r="W24" s="17">
        <f t="shared" ca="1" si="3"/>
        <v>-0.12125000000000008</v>
      </c>
      <c r="X24" s="17">
        <f t="shared" ca="1" si="3"/>
        <v>-0.12125000000000008</v>
      </c>
      <c r="Y24" s="17">
        <f t="shared" ca="1" si="3"/>
        <v>-0.12125000000000008</v>
      </c>
      <c r="Z24" s="17">
        <f t="shared" ca="1" si="3"/>
        <v>-0.12125000000000008</v>
      </c>
      <c r="AA24" s="17">
        <f t="shared" ca="1" si="3"/>
        <v>-0.12125000000000008</v>
      </c>
      <c r="AB24" s="17">
        <f t="shared" ca="1" si="3"/>
        <v>-0.12125000000000008</v>
      </c>
      <c r="AC24" s="17">
        <f t="shared" ca="1" si="3"/>
        <v>-0.12125000000000008</v>
      </c>
      <c r="AD24" s="17">
        <f t="shared" ca="1" si="3"/>
        <v>-0.12125000000000008</v>
      </c>
      <c r="AE24" s="17">
        <f t="shared" ca="1" si="3"/>
        <v>-0.12125000000000008</v>
      </c>
      <c r="AF24" s="17">
        <f t="shared" ca="1" si="3"/>
        <v>-0.12125000000000008</v>
      </c>
      <c r="AG24" s="17">
        <f t="shared" ca="1" si="3"/>
        <v>-0.12125000000000008</v>
      </c>
      <c r="AH24" s="17">
        <f t="shared" ca="1" si="3"/>
        <v>-0.12125000000000008</v>
      </c>
      <c r="AI24" s="17">
        <f t="shared" ca="1" si="3"/>
        <v>-0.12125000000000008</v>
      </c>
      <c r="AJ24" s="17">
        <f t="shared" ca="1" si="3"/>
        <v>-0.12125000000000008</v>
      </c>
      <c r="AK24" s="17">
        <f t="shared" ca="1" si="3"/>
        <v>-0.12125000000000008</v>
      </c>
      <c r="AL24" s="17">
        <f t="shared" ca="1" si="3"/>
        <v>-0.12125000000000008</v>
      </c>
      <c r="AM24" s="56">
        <f t="shared" ca="1" si="3"/>
        <v>1.2569090909090901</v>
      </c>
    </row>
    <row r="25" spans="1:39" s="5" customFormat="1" ht="21" customHeight="1" x14ac:dyDescent="0.25">
      <c r="A25" s="31"/>
      <c r="B25" s="12" t="s">
        <v>9</v>
      </c>
      <c r="C25" s="26"/>
      <c r="D25" s="25"/>
      <c r="E25" s="10"/>
      <c r="F25" s="10"/>
      <c r="G25" s="10"/>
      <c r="H25" s="10"/>
      <c r="I25" s="10"/>
      <c r="J25" s="10"/>
      <c r="K25" s="35"/>
      <c r="L25" s="35"/>
      <c r="M25" s="34"/>
      <c r="Q25" s="5">
        <v>3</v>
      </c>
      <c r="R25" s="56">
        <f t="shared" ref="R25" ca="1" si="4">($Z$18+$Y$18*R11+$X$18*R11^2+$W$18*R11^3)</f>
        <v>-0.19839999999999988</v>
      </c>
      <c r="S25" s="17">
        <f t="shared" ref="S25:AM25" ca="1" si="5">($Z$18+$Y$18*S11+$X$18*S11^2+$W$18*S11^3)</f>
        <v>0.10000000000000002</v>
      </c>
      <c r="T25" s="17">
        <f t="shared" ca="1" si="5"/>
        <v>0.5</v>
      </c>
      <c r="U25" s="17">
        <f t="shared" ca="1" si="5"/>
        <v>0.79999999999999993</v>
      </c>
      <c r="V25" s="17">
        <f t="shared" ca="1" si="5"/>
        <v>1.2000000000000002</v>
      </c>
      <c r="W25" s="17">
        <f t="shared" ca="1" si="5"/>
        <v>-0.1453124999999999</v>
      </c>
      <c r="X25" s="17">
        <f t="shared" ca="1" si="5"/>
        <v>-0.1453124999999999</v>
      </c>
      <c r="Y25" s="17">
        <f t="shared" ca="1" si="5"/>
        <v>-0.1453124999999999</v>
      </c>
      <c r="Z25" s="17">
        <f t="shared" ca="1" si="5"/>
        <v>-0.1453124999999999</v>
      </c>
      <c r="AA25" s="17">
        <f t="shared" ca="1" si="5"/>
        <v>-0.1453124999999999</v>
      </c>
      <c r="AB25" s="17">
        <f t="shared" ca="1" si="5"/>
        <v>-0.1453124999999999</v>
      </c>
      <c r="AC25" s="17">
        <f t="shared" ca="1" si="5"/>
        <v>-0.1453124999999999</v>
      </c>
      <c r="AD25" s="17">
        <f t="shared" ca="1" si="5"/>
        <v>-0.1453124999999999</v>
      </c>
      <c r="AE25" s="17">
        <f t="shared" ca="1" si="5"/>
        <v>-0.1453124999999999</v>
      </c>
      <c r="AF25" s="17">
        <f t="shared" ca="1" si="5"/>
        <v>-0.1453124999999999</v>
      </c>
      <c r="AG25" s="17">
        <f t="shared" ca="1" si="5"/>
        <v>-0.1453124999999999</v>
      </c>
      <c r="AH25" s="17">
        <f t="shared" ca="1" si="5"/>
        <v>-0.1453124999999999</v>
      </c>
      <c r="AI25" s="17">
        <f t="shared" ca="1" si="5"/>
        <v>-0.1453124999999999</v>
      </c>
      <c r="AJ25" s="17">
        <f t="shared" ca="1" si="5"/>
        <v>-0.1453124999999999</v>
      </c>
      <c r="AK25" s="17">
        <f t="shared" ca="1" si="5"/>
        <v>-0.1453124999999999</v>
      </c>
      <c r="AL25" s="17">
        <f t="shared" ca="1" si="5"/>
        <v>-0.1453124999999999</v>
      </c>
      <c r="AM25" s="56">
        <f t="shared" ca="1" si="5"/>
        <v>1.2913999999999994</v>
      </c>
    </row>
    <row r="26" spans="1:39" s="5" customFormat="1" ht="21" customHeight="1" x14ac:dyDescent="0.25">
      <c r="A26" s="31"/>
      <c r="B26" s="12" t="s">
        <v>10</v>
      </c>
      <c r="C26" s="26"/>
      <c r="D26" s="25"/>
      <c r="E26" s="10"/>
      <c r="F26" s="10"/>
      <c r="G26" s="10"/>
      <c r="H26" s="10"/>
      <c r="I26" s="10"/>
      <c r="J26" s="10"/>
      <c r="K26" s="35"/>
      <c r="L26" s="35"/>
      <c r="M26" s="34"/>
      <c r="Q26" s="5">
        <v>4</v>
      </c>
      <c r="R26" s="56">
        <f t="shared" ref="R26" ca="1" si="6">($Z$19+$Y$19*R11+$X$19*R11^2+$W$19*R11^3+$V$19*R11^4)</f>
        <v>1.8388468468469036E-2</v>
      </c>
      <c r="S26" s="17">
        <f t="shared" ref="S26:AM26" ca="1" si="7">($Z$19+$Y$19*S11+$X$19*S11^2+$W$19*S11^3+$V$19*S11^4)</f>
        <v>0.10000000000000062</v>
      </c>
      <c r="T26" s="17">
        <f t="shared" ca="1" si="7"/>
        <v>0.50000000000000056</v>
      </c>
      <c r="U26" s="17">
        <f t="shared" ca="1" si="7"/>
        <v>0.79999999999999971</v>
      </c>
      <c r="V26" s="17">
        <f t="shared" ca="1" si="7"/>
        <v>1.2000000000000002</v>
      </c>
      <c r="W26" s="17">
        <f t="shared" ca="1" si="7"/>
        <v>1.3999155405405972E-2</v>
      </c>
      <c r="X26" s="17">
        <f t="shared" ca="1" si="7"/>
        <v>1.3999155405405972E-2</v>
      </c>
      <c r="Y26" s="17">
        <f t="shared" ca="1" si="7"/>
        <v>1.3999155405405972E-2</v>
      </c>
      <c r="Z26" s="17">
        <f t="shared" ca="1" si="7"/>
        <v>1.3999155405405972E-2</v>
      </c>
      <c r="AA26" s="17">
        <f t="shared" ca="1" si="7"/>
        <v>1.3999155405405972E-2</v>
      </c>
      <c r="AB26" s="17">
        <f t="shared" ca="1" si="7"/>
        <v>1.3999155405405972E-2</v>
      </c>
      <c r="AC26" s="17">
        <f t="shared" ca="1" si="7"/>
        <v>1.3999155405405972E-2</v>
      </c>
      <c r="AD26" s="17">
        <f t="shared" ca="1" si="7"/>
        <v>1.3999155405405972E-2</v>
      </c>
      <c r="AE26" s="17">
        <f t="shared" ca="1" si="7"/>
        <v>1.3999155405405972E-2</v>
      </c>
      <c r="AF26" s="17">
        <f t="shared" ca="1" si="7"/>
        <v>1.3999155405405972E-2</v>
      </c>
      <c r="AG26" s="17">
        <f t="shared" ca="1" si="7"/>
        <v>1.3999155405405972E-2</v>
      </c>
      <c r="AH26" s="17">
        <f t="shared" ca="1" si="7"/>
        <v>1.3999155405405972E-2</v>
      </c>
      <c r="AI26" s="17">
        <f t="shared" ca="1" si="7"/>
        <v>1.3999155405405972E-2</v>
      </c>
      <c r="AJ26" s="17">
        <f t="shared" ca="1" si="7"/>
        <v>1.3999155405405972E-2</v>
      </c>
      <c r="AK26" s="17">
        <f t="shared" ca="1" si="7"/>
        <v>1.3999155405405972E-2</v>
      </c>
      <c r="AL26" s="17">
        <f t="shared" ca="1" si="7"/>
        <v>1.3999155405405972E-2</v>
      </c>
      <c r="AM26" s="56">
        <f t="shared" ca="1" si="7"/>
        <v>1.7791740540540548</v>
      </c>
    </row>
    <row r="27" spans="1:39" s="5" customFormat="1" ht="21" customHeight="1" x14ac:dyDescent="0.25">
      <c r="A27" s="31"/>
      <c r="B27" s="12" t="s">
        <v>11</v>
      </c>
      <c r="C27" s="26"/>
      <c r="D27" s="25"/>
      <c r="E27" s="10"/>
      <c r="F27" s="10"/>
      <c r="G27" s="10"/>
      <c r="H27" s="10"/>
      <c r="I27" s="10"/>
      <c r="J27" s="10"/>
      <c r="K27" s="35"/>
      <c r="L27" s="35"/>
      <c r="M27" s="34"/>
      <c r="Q27" s="5">
        <v>5</v>
      </c>
      <c r="R27" s="56">
        <f t="shared" ref="R27" ca="1" si="8">($Z$20+$Y$20*R11+$X$20*R11^2+$W$20*R11^3+$V$20*R11^4+$U$20*R11^5)</f>
        <v>6.8229678356602833E-2</v>
      </c>
      <c r="S27" s="17">
        <f t="shared" ref="S27:AM27" ca="1" si="9">($Z$20+$Y$20*S11+$X$20*S11^2+$W$20*S11^3+$V$20*S11^4+$U$20*S11^5)</f>
        <v>0.10000000000000257</v>
      </c>
      <c r="T27" s="17">
        <f t="shared" ca="1" si="9"/>
        <v>0.49999999999999745</v>
      </c>
      <c r="U27" s="17">
        <f t="shared" ca="1" si="9"/>
        <v>0.80000000000000071</v>
      </c>
      <c r="V27" s="17">
        <f t="shared" ca="1" si="9"/>
        <v>1.2000000000000028</v>
      </c>
      <c r="W27" s="17">
        <f t="shared" ca="1" si="9"/>
        <v>6.8575635214507713E-2</v>
      </c>
      <c r="X27" s="17">
        <f t="shared" ca="1" si="9"/>
        <v>6.8575635214507713E-2</v>
      </c>
      <c r="Y27" s="17">
        <f t="shared" ca="1" si="9"/>
        <v>6.8575635214507713E-2</v>
      </c>
      <c r="Z27" s="17">
        <f t="shared" ca="1" si="9"/>
        <v>6.8575635214507713E-2</v>
      </c>
      <c r="AA27" s="17">
        <f t="shared" ca="1" si="9"/>
        <v>6.8575635214507713E-2</v>
      </c>
      <c r="AB27" s="17">
        <f t="shared" ca="1" si="9"/>
        <v>6.8575635214507713E-2</v>
      </c>
      <c r="AC27" s="17">
        <f t="shared" ca="1" si="9"/>
        <v>6.8575635214507713E-2</v>
      </c>
      <c r="AD27" s="17">
        <f t="shared" ca="1" si="9"/>
        <v>6.8575635214507713E-2</v>
      </c>
      <c r="AE27" s="17">
        <f t="shared" ca="1" si="9"/>
        <v>6.8575635214507713E-2</v>
      </c>
      <c r="AF27" s="17">
        <f t="shared" ca="1" si="9"/>
        <v>6.8575635214507713E-2</v>
      </c>
      <c r="AG27" s="17">
        <f t="shared" ca="1" si="9"/>
        <v>6.8575635214507713E-2</v>
      </c>
      <c r="AH27" s="17">
        <f t="shared" ca="1" si="9"/>
        <v>6.8575635214507713E-2</v>
      </c>
      <c r="AI27" s="17">
        <f t="shared" ca="1" si="9"/>
        <v>6.8575635214507713E-2</v>
      </c>
      <c r="AJ27" s="17">
        <f t="shared" ca="1" si="9"/>
        <v>6.8575635214507713E-2</v>
      </c>
      <c r="AK27" s="17">
        <f t="shared" ca="1" si="9"/>
        <v>6.8575635214507713E-2</v>
      </c>
      <c r="AL27" s="17">
        <f t="shared" ca="1" si="9"/>
        <v>6.8575635214507713E-2</v>
      </c>
      <c r="AM27" s="56">
        <f t="shared" ca="1" si="9"/>
        <v>4.7490995260468765</v>
      </c>
    </row>
    <row r="28" spans="1:39" s="5" customFormat="1" ht="21" customHeight="1" x14ac:dyDescent="0.25">
      <c r="A28" s="31"/>
      <c r="B28" s="12" t="s">
        <v>12</v>
      </c>
      <c r="C28" s="26"/>
      <c r="D28" s="25"/>
      <c r="E28" s="10"/>
      <c r="F28" s="10"/>
      <c r="G28" s="10"/>
      <c r="H28" s="10"/>
      <c r="I28" s="10"/>
      <c r="J28" s="10"/>
      <c r="K28" s="35"/>
      <c r="L28" s="35"/>
      <c r="M28" s="34"/>
      <c r="R28" s="53"/>
      <c r="AM28" s="53"/>
    </row>
    <row r="29" spans="1:39" s="5" customFormat="1" ht="21" customHeight="1" x14ac:dyDescent="0.25">
      <c r="A29" s="31"/>
      <c r="B29" s="12" t="s">
        <v>13</v>
      </c>
      <c r="C29" s="26"/>
      <c r="D29" s="25"/>
      <c r="E29" s="10"/>
      <c r="F29" s="10"/>
      <c r="G29" s="10"/>
      <c r="H29" s="10"/>
      <c r="I29" s="10"/>
      <c r="J29" s="10"/>
      <c r="K29" s="35"/>
      <c r="L29" s="35"/>
      <c r="M29" s="34"/>
      <c r="P29" s="5" t="s">
        <v>30</v>
      </c>
      <c r="Q29" s="18" t="s">
        <v>34</v>
      </c>
      <c r="R29" s="55"/>
      <c r="AM29" s="55"/>
    </row>
    <row r="30" spans="1:39" s="5" customFormat="1" ht="21" customHeight="1" x14ac:dyDescent="0.25">
      <c r="A30" s="31"/>
      <c r="B30" s="12" t="s">
        <v>14</v>
      </c>
      <c r="C30" s="26"/>
      <c r="D30" s="25"/>
      <c r="E30" s="10"/>
      <c r="F30" s="10"/>
      <c r="G30" s="10"/>
      <c r="H30" s="10"/>
      <c r="I30" s="10"/>
      <c r="J30" s="10"/>
      <c r="K30" s="35"/>
      <c r="L30" s="35"/>
      <c r="M30" s="34"/>
      <c r="Q30" s="5">
        <v>1</v>
      </c>
      <c r="R30" s="53"/>
      <c r="S30" s="17">
        <f t="shared" ref="S30:AL30" ca="1" si="10">S23-S$12</f>
        <v>7.9999999999999877E-2</v>
      </c>
      <c r="T30" s="17">
        <f t="shared" ca="1" si="10"/>
        <v>-5.1428571428571546E-2</v>
      </c>
      <c r="U30" s="17">
        <f t="shared" ca="1" si="10"/>
        <v>-8.2857142857142962E-2</v>
      </c>
      <c r="V30" s="17">
        <f t="shared" ca="1" si="10"/>
        <v>5.428571428571427E-2</v>
      </c>
      <c r="W30" s="17">
        <f t="shared" ca="1" si="10"/>
        <v>4.5714285714285596E-2</v>
      </c>
      <c r="X30" s="17">
        <f t="shared" ca="1" si="10"/>
        <v>4.5714285714285596E-2</v>
      </c>
      <c r="Y30" s="17">
        <f t="shared" ca="1" si="10"/>
        <v>4.5714285714285596E-2</v>
      </c>
      <c r="Z30" s="17">
        <f t="shared" ca="1" si="10"/>
        <v>4.5714285714285596E-2</v>
      </c>
      <c r="AA30" s="17">
        <f t="shared" ca="1" si="10"/>
        <v>4.5714285714285596E-2</v>
      </c>
      <c r="AB30" s="17">
        <f t="shared" ca="1" si="10"/>
        <v>4.5714285714285596E-2</v>
      </c>
      <c r="AC30" s="17">
        <f t="shared" ca="1" si="10"/>
        <v>4.5714285714285596E-2</v>
      </c>
      <c r="AD30" s="17">
        <f t="shared" ca="1" si="10"/>
        <v>4.5714285714285596E-2</v>
      </c>
      <c r="AE30" s="17">
        <f t="shared" ca="1" si="10"/>
        <v>4.5714285714285596E-2</v>
      </c>
      <c r="AF30" s="17">
        <f t="shared" ca="1" si="10"/>
        <v>4.5714285714285596E-2</v>
      </c>
      <c r="AG30" s="17">
        <f t="shared" ca="1" si="10"/>
        <v>4.5714285714285596E-2</v>
      </c>
      <c r="AH30" s="17">
        <f t="shared" ca="1" si="10"/>
        <v>4.5714285714285596E-2</v>
      </c>
      <c r="AI30" s="17">
        <f t="shared" ca="1" si="10"/>
        <v>4.5714285714285596E-2</v>
      </c>
      <c r="AJ30" s="17">
        <f t="shared" ca="1" si="10"/>
        <v>4.5714285714285596E-2</v>
      </c>
      <c r="AK30" s="17">
        <f t="shared" ca="1" si="10"/>
        <v>4.5714285714285596E-2</v>
      </c>
      <c r="AL30" s="17">
        <f t="shared" ca="1" si="10"/>
        <v>4.5714285714285596E-2</v>
      </c>
      <c r="AM30" s="53"/>
    </row>
    <row r="31" spans="1:39" s="5" customFormat="1" ht="21" customHeight="1" x14ac:dyDescent="0.25">
      <c r="A31" s="31"/>
      <c r="B31" s="12" t="s">
        <v>15</v>
      </c>
      <c r="C31" s="26"/>
      <c r="D31" s="25"/>
      <c r="E31" s="10"/>
      <c r="F31" s="10"/>
      <c r="G31" s="10"/>
      <c r="H31" s="10"/>
      <c r="I31" s="10"/>
      <c r="J31" s="10"/>
      <c r="K31" s="35"/>
      <c r="L31" s="35"/>
      <c r="M31" s="34"/>
      <c r="Q31" s="5">
        <v>2</v>
      </c>
      <c r="R31" s="53"/>
      <c r="S31" s="17">
        <f t="shared" ref="S31:AL31" ca="1" si="11">S24-S$12</f>
        <v>2.7272727272726893E-3</v>
      </c>
      <c r="T31" s="17">
        <f t="shared" ca="1" si="11"/>
        <v>-7.2727272727272085E-3</v>
      </c>
      <c r="U31" s="17">
        <f t="shared" ca="1" si="11"/>
        <v>5.4545454545452676E-3</v>
      </c>
      <c r="V31" s="17">
        <f t="shared" ca="1" si="11"/>
        <v>-9.090909090911925E-4</v>
      </c>
      <c r="W31" s="17">
        <f t="shared" ca="1" si="11"/>
        <v>-0.12125000000000008</v>
      </c>
      <c r="X31" s="17">
        <f t="shared" ca="1" si="11"/>
        <v>-0.12125000000000008</v>
      </c>
      <c r="Y31" s="17">
        <f t="shared" ca="1" si="11"/>
        <v>-0.12125000000000008</v>
      </c>
      <c r="Z31" s="17">
        <f t="shared" ca="1" si="11"/>
        <v>-0.12125000000000008</v>
      </c>
      <c r="AA31" s="17">
        <f t="shared" ca="1" si="11"/>
        <v>-0.12125000000000008</v>
      </c>
      <c r="AB31" s="17">
        <f t="shared" ca="1" si="11"/>
        <v>-0.12125000000000008</v>
      </c>
      <c r="AC31" s="17">
        <f t="shared" ca="1" si="11"/>
        <v>-0.12125000000000008</v>
      </c>
      <c r="AD31" s="17">
        <f t="shared" ca="1" si="11"/>
        <v>-0.12125000000000008</v>
      </c>
      <c r="AE31" s="17">
        <f t="shared" ca="1" si="11"/>
        <v>-0.12125000000000008</v>
      </c>
      <c r="AF31" s="17">
        <f t="shared" ca="1" si="11"/>
        <v>-0.12125000000000008</v>
      </c>
      <c r="AG31" s="17">
        <f t="shared" ca="1" si="11"/>
        <v>-0.12125000000000008</v>
      </c>
      <c r="AH31" s="17">
        <f t="shared" ca="1" si="11"/>
        <v>-0.12125000000000008</v>
      </c>
      <c r="AI31" s="17">
        <f t="shared" ca="1" si="11"/>
        <v>-0.12125000000000008</v>
      </c>
      <c r="AJ31" s="17">
        <f t="shared" ca="1" si="11"/>
        <v>-0.12125000000000008</v>
      </c>
      <c r="AK31" s="17">
        <f t="shared" ca="1" si="11"/>
        <v>-0.12125000000000008</v>
      </c>
      <c r="AL31" s="17">
        <f t="shared" ca="1" si="11"/>
        <v>-0.12125000000000008</v>
      </c>
      <c r="AM31" s="53"/>
    </row>
    <row r="32" spans="1:39" s="5" customFormat="1" ht="21" customHeight="1" x14ac:dyDescent="0.25">
      <c r="A32" s="31"/>
      <c r="B32" s="12" t="s">
        <v>16</v>
      </c>
      <c r="C32" s="26"/>
      <c r="D32" s="26"/>
      <c r="E32" s="10"/>
      <c r="F32" s="10"/>
      <c r="G32" s="10"/>
      <c r="H32" s="10"/>
      <c r="I32" s="10"/>
      <c r="J32" s="10"/>
      <c r="K32" s="35"/>
      <c r="L32" s="35"/>
      <c r="M32" s="34"/>
      <c r="Q32" s="5">
        <v>3</v>
      </c>
      <c r="R32" s="53"/>
      <c r="S32" s="17">
        <f t="shared" ref="S32:AL32" ca="1" si="12">S25-S$12</f>
        <v>0</v>
      </c>
      <c r="T32" s="17">
        <f t="shared" ca="1" si="12"/>
        <v>0</v>
      </c>
      <c r="U32" s="17">
        <f t="shared" ca="1" si="12"/>
        <v>0</v>
      </c>
      <c r="V32" s="17">
        <f t="shared" ca="1" si="12"/>
        <v>0</v>
      </c>
      <c r="W32" s="17">
        <f t="shared" ca="1" si="12"/>
        <v>-0.1453124999999999</v>
      </c>
      <c r="X32" s="17">
        <f t="shared" ca="1" si="12"/>
        <v>-0.1453124999999999</v>
      </c>
      <c r="Y32" s="17">
        <f t="shared" ca="1" si="12"/>
        <v>-0.1453124999999999</v>
      </c>
      <c r="Z32" s="17">
        <f t="shared" ca="1" si="12"/>
        <v>-0.1453124999999999</v>
      </c>
      <c r="AA32" s="17">
        <f t="shared" ca="1" si="12"/>
        <v>-0.1453124999999999</v>
      </c>
      <c r="AB32" s="17">
        <f t="shared" ca="1" si="12"/>
        <v>-0.1453124999999999</v>
      </c>
      <c r="AC32" s="17">
        <f t="shared" ca="1" si="12"/>
        <v>-0.1453124999999999</v>
      </c>
      <c r="AD32" s="17">
        <f t="shared" ca="1" si="12"/>
        <v>-0.1453124999999999</v>
      </c>
      <c r="AE32" s="17">
        <f t="shared" ca="1" si="12"/>
        <v>-0.1453124999999999</v>
      </c>
      <c r="AF32" s="17">
        <f t="shared" ca="1" si="12"/>
        <v>-0.1453124999999999</v>
      </c>
      <c r="AG32" s="17">
        <f t="shared" ca="1" si="12"/>
        <v>-0.1453124999999999</v>
      </c>
      <c r="AH32" s="17">
        <f t="shared" ca="1" si="12"/>
        <v>-0.1453124999999999</v>
      </c>
      <c r="AI32" s="17">
        <f t="shared" ca="1" si="12"/>
        <v>-0.1453124999999999</v>
      </c>
      <c r="AJ32" s="17">
        <f t="shared" ca="1" si="12"/>
        <v>-0.1453124999999999</v>
      </c>
      <c r="AK32" s="17">
        <f t="shared" ca="1" si="12"/>
        <v>-0.1453124999999999</v>
      </c>
      <c r="AL32" s="17">
        <f t="shared" ca="1" si="12"/>
        <v>-0.1453124999999999</v>
      </c>
      <c r="AM32" s="53"/>
    </row>
    <row r="33" spans="1:39" s="5" customFormat="1" ht="21" customHeight="1" x14ac:dyDescent="0.25">
      <c r="A33" s="31"/>
      <c r="B33" s="12" t="s">
        <v>17</v>
      </c>
      <c r="C33" s="26"/>
      <c r="D33" s="26"/>
      <c r="E33" s="10"/>
      <c r="F33" s="10"/>
      <c r="G33" s="10"/>
      <c r="H33" s="10"/>
      <c r="I33" s="10"/>
      <c r="J33" s="10"/>
      <c r="K33" s="35"/>
      <c r="L33" s="35"/>
      <c r="M33" s="34"/>
      <c r="Q33" s="5">
        <v>4</v>
      </c>
      <c r="R33" s="53"/>
      <c r="S33" s="17">
        <f t="shared" ref="S33:AL33" ca="1" si="13">S26-S$12</f>
        <v>6.106226635438361E-16</v>
      </c>
      <c r="T33" s="17">
        <f t="shared" ca="1" si="13"/>
        <v>0</v>
      </c>
      <c r="U33" s="17">
        <f t="shared" ca="1" si="13"/>
        <v>0</v>
      </c>
      <c r="V33" s="17">
        <f t="shared" ca="1" si="13"/>
        <v>0</v>
      </c>
      <c r="W33" s="17">
        <f t="shared" ca="1" si="13"/>
        <v>1.3999155405405972E-2</v>
      </c>
      <c r="X33" s="17">
        <f t="shared" ca="1" si="13"/>
        <v>1.3999155405405972E-2</v>
      </c>
      <c r="Y33" s="17">
        <f t="shared" ca="1" si="13"/>
        <v>1.3999155405405972E-2</v>
      </c>
      <c r="Z33" s="17">
        <f t="shared" ca="1" si="13"/>
        <v>1.3999155405405972E-2</v>
      </c>
      <c r="AA33" s="17">
        <f t="shared" ca="1" si="13"/>
        <v>1.3999155405405972E-2</v>
      </c>
      <c r="AB33" s="17">
        <f t="shared" ca="1" si="13"/>
        <v>1.3999155405405972E-2</v>
      </c>
      <c r="AC33" s="17">
        <f t="shared" ca="1" si="13"/>
        <v>1.3999155405405972E-2</v>
      </c>
      <c r="AD33" s="17">
        <f t="shared" ca="1" si="13"/>
        <v>1.3999155405405972E-2</v>
      </c>
      <c r="AE33" s="17">
        <f t="shared" ca="1" si="13"/>
        <v>1.3999155405405972E-2</v>
      </c>
      <c r="AF33" s="17">
        <f t="shared" ca="1" si="13"/>
        <v>1.3999155405405972E-2</v>
      </c>
      <c r="AG33" s="17">
        <f t="shared" ca="1" si="13"/>
        <v>1.3999155405405972E-2</v>
      </c>
      <c r="AH33" s="17">
        <f t="shared" ca="1" si="13"/>
        <v>1.3999155405405972E-2</v>
      </c>
      <c r="AI33" s="17">
        <f t="shared" ca="1" si="13"/>
        <v>1.3999155405405972E-2</v>
      </c>
      <c r="AJ33" s="17">
        <f t="shared" ca="1" si="13"/>
        <v>1.3999155405405972E-2</v>
      </c>
      <c r="AK33" s="17">
        <f t="shared" ca="1" si="13"/>
        <v>1.3999155405405972E-2</v>
      </c>
      <c r="AL33" s="17">
        <f t="shared" ca="1" si="13"/>
        <v>1.3999155405405972E-2</v>
      </c>
      <c r="AM33" s="53"/>
    </row>
    <row r="34" spans="1:39" s="5" customFormat="1" ht="21" customHeight="1" x14ac:dyDescent="0.25">
      <c r="A34" s="31"/>
      <c r="B34" s="12" t="s">
        <v>18</v>
      </c>
      <c r="C34" s="26"/>
      <c r="D34" s="26"/>
      <c r="E34" s="10"/>
      <c r="F34" s="10"/>
      <c r="G34" s="10"/>
      <c r="H34" s="10"/>
      <c r="I34" s="10"/>
      <c r="J34" s="10"/>
      <c r="K34" s="35"/>
      <c r="L34" s="35"/>
      <c r="M34" s="34"/>
      <c r="Q34" s="5">
        <v>5</v>
      </c>
      <c r="R34" s="53"/>
      <c r="S34" s="17">
        <f t="shared" ref="S34:AL34" ca="1" si="14">S27-S$12</f>
        <v>2.5673907444456745E-15</v>
      </c>
      <c r="T34" s="17">
        <f t="shared" ca="1" si="14"/>
        <v>-2.55351295663786E-15</v>
      </c>
      <c r="U34" s="17">
        <f t="shared" ca="1" si="14"/>
        <v>0</v>
      </c>
      <c r="V34" s="17">
        <f t="shared" ca="1" si="14"/>
        <v>2.886579864025407E-15</v>
      </c>
      <c r="W34" s="17">
        <f t="shared" ca="1" si="14"/>
        <v>6.8575635214507713E-2</v>
      </c>
      <c r="X34" s="17">
        <f t="shared" ca="1" si="14"/>
        <v>6.8575635214507713E-2</v>
      </c>
      <c r="Y34" s="17">
        <f t="shared" ca="1" si="14"/>
        <v>6.8575635214507713E-2</v>
      </c>
      <c r="Z34" s="17">
        <f t="shared" ca="1" si="14"/>
        <v>6.8575635214507713E-2</v>
      </c>
      <c r="AA34" s="17">
        <f t="shared" ca="1" si="14"/>
        <v>6.8575635214507713E-2</v>
      </c>
      <c r="AB34" s="17">
        <f t="shared" ca="1" si="14"/>
        <v>6.8575635214507713E-2</v>
      </c>
      <c r="AC34" s="17">
        <f t="shared" ca="1" si="14"/>
        <v>6.8575635214507713E-2</v>
      </c>
      <c r="AD34" s="17">
        <f t="shared" ca="1" si="14"/>
        <v>6.8575635214507713E-2</v>
      </c>
      <c r="AE34" s="17">
        <f t="shared" ca="1" si="14"/>
        <v>6.8575635214507713E-2</v>
      </c>
      <c r="AF34" s="17">
        <f t="shared" ca="1" si="14"/>
        <v>6.8575635214507713E-2</v>
      </c>
      <c r="AG34" s="17">
        <f t="shared" ca="1" si="14"/>
        <v>6.8575635214507713E-2</v>
      </c>
      <c r="AH34" s="17">
        <f t="shared" ca="1" si="14"/>
        <v>6.8575635214507713E-2</v>
      </c>
      <c r="AI34" s="17">
        <f t="shared" ca="1" si="14"/>
        <v>6.8575635214507713E-2</v>
      </c>
      <c r="AJ34" s="17">
        <f t="shared" ca="1" si="14"/>
        <v>6.8575635214507713E-2</v>
      </c>
      <c r="AK34" s="17">
        <f t="shared" ca="1" si="14"/>
        <v>6.8575635214507713E-2</v>
      </c>
      <c r="AL34" s="17">
        <f t="shared" ca="1" si="14"/>
        <v>6.8575635214507713E-2</v>
      </c>
      <c r="AM34" s="53"/>
    </row>
    <row r="35" spans="1:39" s="5" customFormat="1" ht="21" customHeight="1" x14ac:dyDescent="0.25">
      <c r="A35" s="31"/>
      <c r="B35" s="12" t="s">
        <v>19</v>
      </c>
      <c r="C35" s="26"/>
      <c r="D35" s="26"/>
      <c r="E35" s="10"/>
      <c r="F35" s="10"/>
      <c r="G35" s="10"/>
      <c r="H35" s="10"/>
      <c r="I35" s="10"/>
      <c r="J35" s="10"/>
      <c r="K35" s="35"/>
      <c r="L35" s="35"/>
      <c r="M35" s="34"/>
      <c r="R35" s="53"/>
      <c r="AM35" s="53"/>
    </row>
    <row r="36" spans="1:39" s="5" customFormat="1" ht="21" customHeight="1" x14ac:dyDescent="0.25">
      <c r="A36" s="31"/>
      <c r="B36" s="12" t="s">
        <v>20</v>
      </c>
      <c r="C36" s="26"/>
      <c r="D36" s="26"/>
      <c r="E36" s="10"/>
      <c r="F36" s="10"/>
      <c r="G36" s="10"/>
      <c r="H36" s="10"/>
      <c r="I36" s="10"/>
      <c r="J36" s="10"/>
      <c r="K36" s="35"/>
      <c r="L36" s="35"/>
      <c r="M36" s="34"/>
      <c r="R36" s="53"/>
      <c r="AM36" s="53"/>
    </row>
    <row r="37" spans="1:39" s="5" customFormat="1" ht="21" customHeight="1" x14ac:dyDescent="0.25">
      <c r="A37" s="31"/>
      <c r="B37" s="12" t="s">
        <v>21</v>
      </c>
      <c r="C37" s="25"/>
      <c r="D37" s="25"/>
      <c r="E37" s="10"/>
      <c r="F37" s="10"/>
      <c r="G37" s="10"/>
      <c r="H37" s="10"/>
      <c r="I37" s="10"/>
      <c r="J37" s="10"/>
      <c r="K37" s="35"/>
      <c r="L37" s="35"/>
      <c r="M37" s="34"/>
      <c r="P37" s="5" t="s">
        <v>33</v>
      </c>
      <c r="Q37" s="4"/>
      <c r="R37" s="57"/>
      <c r="T37" s="18" t="s">
        <v>34</v>
      </c>
      <c r="AE37" s="9"/>
      <c r="AH37" s="4"/>
      <c r="AM37" s="57"/>
    </row>
    <row r="38" spans="1:39" s="5" customFormat="1" ht="21" customHeight="1" x14ac:dyDescent="0.25">
      <c r="A38" s="31"/>
      <c r="B38" s="12" t="s">
        <v>22</v>
      </c>
      <c r="C38" s="26"/>
      <c r="D38" s="26"/>
      <c r="E38" s="10"/>
      <c r="F38" s="10"/>
      <c r="G38" s="10"/>
      <c r="H38" s="10"/>
      <c r="I38" s="10"/>
      <c r="J38" s="10"/>
      <c r="K38" s="35"/>
      <c r="L38" s="35"/>
      <c r="M38" s="34"/>
      <c r="P38" s="4"/>
      <c r="Q38" s="4"/>
      <c r="R38" s="57"/>
      <c r="T38" s="16">
        <v>1</v>
      </c>
      <c r="U38" s="16">
        <v>7</v>
      </c>
      <c r="V38" s="16">
        <v>6</v>
      </c>
      <c r="W38" s="16">
        <v>5</v>
      </c>
      <c r="X38" s="16">
        <v>4</v>
      </c>
      <c r="Y38" s="16">
        <v>3</v>
      </c>
      <c r="Z38" s="16">
        <v>2</v>
      </c>
      <c r="AA38" s="16"/>
      <c r="AE38" s="9"/>
      <c r="AH38" s="4"/>
      <c r="AM38" s="57"/>
    </row>
    <row r="39" spans="1:39" s="5" customFormat="1" ht="21" customHeight="1" x14ac:dyDescent="0.25">
      <c r="A39" s="31"/>
      <c r="B39" s="10"/>
      <c r="C39" s="10"/>
      <c r="D39" s="10"/>
      <c r="E39" s="10"/>
      <c r="F39" s="10"/>
      <c r="G39" s="10"/>
      <c r="H39" s="10"/>
      <c r="I39" s="10"/>
      <c r="J39" s="10"/>
      <c r="K39" s="35"/>
      <c r="L39" s="35"/>
      <c r="M39" s="34"/>
      <c r="P39" s="4"/>
      <c r="Q39" s="4"/>
      <c r="R39" s="57"/>
      <c r="T39" s="5">
        <f t="shared" ref="T39:Z39" si="15">VLOOKUP($B$43,$T$16:$Z$20,T38)</f>
        <v>2</v>
      </c>
      <c r="U39" s="15">
        <f t="shared" ca="1" si="15"/>
        <v>-0.12125000000000008</v>
      </c>
      <c r="V39" s="15">
        <f t="shared" ca="1" si="15"/>
        <v>0.2336363636363637</v>
      </c>
      <c r="W39" s="15">
        <f t="shared" ca="1" si="15"/>
        <v>-9.6590909090909227E-3</v>
      </c>
      <c r="X39" s="15">
        <f t="shared" si="15"/>
        <v>0</v>
      </c>
      <c r="Y39" s="15">
        <f t="shared" si="15"/>
        <v>0</v>
      </c>
      <c r="Z39" s="15">
        <f t="shared" si="15"/>
        <v>0</v>
      </c>
      <c r="AA39" s="6"/>
      <c r="AE39" s="9"/>
      <c r="AH39" s="4"/>
      <c r="AM39" s="57"/>
    </row>
    <row r="40" spans="1:39" s="5" customFormat="1" ht="21" customHeight="1" x14ac:dyDescent="0.25">
      <c r="A40" s="31"/>
      <c r="B40" s="10"/>
      <c r="C40" s="10" t="s">
        <v>0</v>
      </c>
      <c r="D40" s="10" t="s">
        <v>0</v>
      </c>
      <c r="E40" s="10"/>
      <c r="F40" s="10"/>
      <c r="G40" s="10"/>
      <c r="H40" s="10"/>
      <c r="I40" s="37"/>
      <c r="J40" s="10"/>
      <c r="K40" s="35"/>
      <c r="L40" s="35"/>
      <c r="M40" s="34"/>
      <c r="P40" s="4"/>
      <c r="Q40" s="18" t="s">
        <v>34</v>
      </c>
      <c r="R40" s="55"/>
      <c r="T40" s="4"/>
      <c r="U40" s="4"/>
      <c r="V40" s="4"/>
      <c r="Y40" s="4"/>
      <c r="Z40" s="4"/>
      <c r="AA40" s="9"/>
      <c r="AE40" s="9"/>
      <c r="AH40" s="4"/>
      <c r="AM40" s="55"/>
    </row>
    <row r="41" spans="1:39" s="5" customFormat="1" ht="21" customHeight="1" x14ac:dyDescent="0.25">
      <c r="A41" s="31"/>
      <c r="B41" s="64" t="s">
        <v>24</v>
      </c>
      <c r="C41" s="10"/>
      <c r="D41" s="13" t="s">
        <v>6</v>
      </c>
      <c r="E41" s="14">
        <v>0</v>
      </c>
      <c r="F41" s="14">
        <v>1</v>
      </c>
      <c r="G41" s="14">
        <v>2</v>
      </c>
      <c r="H41" s="14">
        <v>3</v>
      </c>
      <c r="I41" s="14">
        <v>4</v>
      </c>
      <c r="J41" s="14">
        <v>5</v>
      </c>
      <c r="K41" s="10"/>
      <c r="L41" s="10"/>
      <c r="M41" s="32"/>
      <c r="N41" s="4"/>
      <c r="O41" s="4"/>
      <c r="P41" s="5" t="s">
        <v>39</v>
      </c>
      <c r="Q41" s="16">
        <v>1</v>
      </c>
      <c r="R41" s="58">
        <v>2</v>
      </c>
      <c r="S41" s="16">
        <v>3</v>
      </c>
      <c r="T41" s="16">
        <v>4</v>
      </c>
      <c r="U41" s="16">
        <v>5</v>
      </c>
      <c r="V41" s="16">
        <v>6</v>
      </c>
      <c r="W41" s="16">
        <v>7</v>
      </c>
      <c r="X41" s="16">
        <v>8</v>
      </c>
      <c r="Y41" s="16">
        <v>9</v>
      </c>
      <c r="Z41" s="16">
        <v>10</v>
      </c>
      <c r="AA41" s="16">
        <v>11</v>
      </c>
      <c r="AB41" s="16">
        <v>12</v>
      </c>
      <c r="AC41" s="16">
        <v>13</v>
      </c>
      <c r="AD41" s="16">
        <v>14</v>
      </c>
      <c r="AE41" s="16">
        <v>15</v>
      </c>
      <c r="AF41" s="16">
        <v>16</v>
      </c>
      <c r="AG41" s="16">
        <v>17</v>
      </c>
      <c r="AH41" s="16">
        <v>18</v>
      </c>
      <c r="AI41" s="16">
        <v>19</v>
      </c>
      <c r="AJ41" s="16">
        <v>20</v>
      </c>
      <c r="AK41" s="16">
        <v>21</v>
      </c>
      <c r="AL41" s="16">
        <v>22</v>
      </c>
      <c r="AM41" s="58">
        <v>23</v>
      </c>
    </row>
    <row r="42" spans="1:39" s="5" customFormat="1" ht="21" customHeight="1" x14ac:dyDescent="0.25">
      <c r="A42" s="31"/>
      <c r="B42" s="65"/>
      <c r="C42" s="10"/>
      <c r="D42" s="12" t="s">
        <v>23</v>
      </c>
      <c r="E42" s="61">
        <f t="shared" ref="E42:J42" ca="1" si="16">U39</f>
        <v>-0.12125000000000008</v>
      </c>
      <c r="F42" s="61">
        <f t="shared" ca="1" si="16"/>
        <v>0.2336363636363637</v>
      </c>
      <c r="G42" s="61">
        <f t="shared" ca="1" si="16"/>
        <v>-9.6590909090909227E-3</v>
      </c>
      <c r="H42" s="61">
        <f t="shared" si="16"/>
        <v>0</v>
      </c>
      <c r="I42" s="61">
        <f t="shared" si="16"/>
        <v>0</v>
      </c>
      <c r="J42" s="61">
        <f t="shared" si="16"/>
        <v>0</v>
      </c>
      <c r="K42" s="10"/>
      <c r="L42" s="10"/>
      <c r="M42" s="32"/>
      <c r="N42" s="4"/>
      <c r="O42" s="4"/>
      <c r="Q42" s="5">
        <f>VLOOKUP($B$43,$Q$23:$AM$27,Q41)</f>
        <v>2</v>
      </c>
      <c r="R42" s="53">
        <f t="shared" ref="R42:AM42" ca="1" si="17">VLOOKUP($B$43,$Q$23:$AM$27,R41)</f>
        <v>-0.16836363636363644</v>
      </c>
      <c r="S42" s="5">
        <f t="shared" ca="1" si="17"/>
        <v>0.10272727272727269</v>
      </c>
      <c r="T42" s="5">
        <f t="shared" ca="1" si="17"/>
        <v>0.49272727272727279</v>
      </c>
      <c r="U42" s="5">
        <f t="shared" ca="1" si="17"/>
        <v>0.80545454545454531</v>
      </c>
      <c r="V42" s="5">
        <f t="shared" ca="1" si="17"/>
        <v>1.1990909090909088</v>
      </c>
      <c r="W42" s="5">
        <f t="shared" ca="1" si="17"/>
        <v>-0.12125000000000008</v>
      </c>
      <c r="X42" s="5">
        <f t="shared" ca="1" si="17"/>
        <v>-0.12125000000000008</v>
      </c>
      <c r="Y42" s="5">
        <f t="shared" ca="1" si="17"/>
        <v>-0.12125000000000008</v>
      </c>
      <c r="Z42" s="5">
        <f t="shared" ca="1" si="17"/>
        <v>-0.12125000000000008</v>
      </c>
      <c r="AA42" s="5">
        <f t="shared" ca="1" si="17"/>
        <v>-0.12125000000000008</v>
      </c>
      <c r="AB42" s="5">
        <f t="shared" ca="1" si="17"/>
        <v>-0.12125000000000008</v>
      </c>
      <c r="AC42" s="5">
        <f t="shared" ca="1" si="17"/>
        <v>-0.12125000000000008</v>
      </c>
      <c r="AD42" s="5">
        <f t="shared" ca="1" si="17"/>
        <v>-0.12125000000000008</v>
      </c>
      <c r="AE42" s="5">
        <f t="shared" ca="1" si="17"/>
        <v>-0.12125000000000008</v>
      </c>
      <c r="AF42" s="5">
        <f t="shared" ca="1" si="17"/>
        <v>-0.12125000000000008</v>
      </c>
      <c r="AG42" s="5">
        <f t="shared" ca="1" si="17"/>
        <v>-0.12125000000000008</v>
      </c>
      <c r="AH42" s="5">
        <f t="shared" ca="1" si="17"/>
        <v>-0.12125000000000008</v>
      </c>
      <c r="AI42" s="5">
        <f t="shared" ca="1" si="17"/>
        <v>-0.12125000000000008</v>
      </c>
      <c r="AJ42" s="5">
        <f t="shared" ca="1" si="17"/>
        <v>-0.12125000000000008</v>
      </c>
      <c r="AK42" s="5">
        <f t="shared" ca="1" si="17"/>
        <v>-0.12125000000000008</v>
      </c>
      <c r="AL42" s="5">
        <f t="shared" ca="1" si="17"/>
        <v>-0.12125000000000008</v>
      </c>
      <c r="AM42" s="53">
        <f t="shared" ca="1" si="17"/>
        <v>1.2569090909090901</v>
      </c>
    </row>
    <row r="43" spans="1:39" s="5" customFormat="1" ht="21" customHeight="1" x14ac:dyDescent="0.3">
      <c r="A43" s="31"/>
      <c r="B43" s="27">
        <v>2</v>
      </c>
      <c r="C43" s="10"/>
      <c r="D43" s="79" t="s">
        <v>55</v>
      </c>
      <c r="E43" s="19" t="str">
        <f>"Set Passkey(1000)"</f>
        <v>Set Passkey(1000)</v>
      </c>
      <c r="F43" s="20"/>
      <c r="G43" s="20"/>
      <c r="H43" s="20"/>
      <c r="I43" s="20"/>
      <c r="J43" s="21"/>
      <c r="K43" s="10"/>
      <c r="L43" s="10"/>
      <c r="M43" s="32"/>
      <c r="N43" s="4"/>
      <c r="O43" s="4"/>
      <c r="P43" s="4"/>
      <c r="Q43" s="4"/>
      <c r="R43" s="57"/>
      <c r="T43" s="4"/>
      <c r="U43" s="4"/>
      <c r="V43" s="4"/>
      <c r="Y43" s="4"/>
      <c r="Z43" s="4"/>
      <c r="AA43" s="9"/>
      <c r="AE43" s="9" t="s">
        <v>0</v>
      </c>
      <c r="AH43" s="4"/>
      <c r="AM43" s="57"/>
    </row>
    <row r="44" spans="1:39" s="5" customFormat="1" ht="21" customHeight="1" x14ac:dyDescent="0.25">
      <c r="A44" s="31"/>
      <c r="B44" s="10"/>
      <c r="C44" s="10"/>
      <c r="D44" s="80"/>
      <c r="E44" s="62" t="str">
        <f ca="1">"Set "&amp;D42&amp;"("&amp;TEXT(U39,"0.000000E+00")&amp;","&amp;TEXT(V39,"0.000000E+00")&amp;","&amp;TEXT(W39,"0.000000E+00")&amp;","&amp;TEXT(X39,"0.000000E+00")&amp;","&amp;TEXT(Y39,"0.000000E+00")&amp;","&amp;TEXT(Z39,"0.000000E+00")&amp;")"</f>
        <v>Set TSSCoef(-1.212500E-01,2.336364E-01,-9.659091E-03,0.000000E+00,0.000000E+00,0.000000E+00)</v>
      </c>
      <c r="F44" s="60"/>
      <c r="G44" s="60"/>
      <c r="H44" s="60"/>
      <c r="I44" s="60"/>
      <c r="J44" s="63"/>
      <c r="K44" s="10"/>
      <c r="L44" s="10"/>
      <c r="M44" s="32"/>
      <c r="N44" s="4"/>
      <c r="O44" s="4"/>
      <c r="P44" s="5" t="s">
        <v>38</v>
      </c>
      <c r="Q44" s="16">
        <v>1</v>
      </c>
      <c r="R44" s="58"/>
      <c r="S44" s="16">
        <v>2</v>
      </c>
      <c r="T44" s="16">
        <v>3</v>
      </c>
      <c r="U44" s="16">
        <v>4</v>
      </c>
      <c r="V44" s="16">
        <v>5</v>
      </c>
      <c r="W44" s="16">
        <v>6</v>
      </c>
      <c r="X44" s="16">
        <v>7</v>
      </c>
      <c r="Y44" s="16">
        <v>8</v>
      </c>
      <c r="Z44" s="16">
        <v>9</v>
      </c>
      <c r="AA44" s="16">
        <v>10</v>
      </c>
      <c r="AB44" s="16">
        <v>11</v>
      </c>
      <c r="AC44" s="16">
        <v>12</v>
      </c>
      <c r="AD44" s="16">
        <v>13</v>
      </c>
      <c r="AE44" s="16">
        <v>14</v>
      </c>
      <c r="AF44" s="16">
        <v>15</v>
      </c>
      <c r="AG44" s="16">
        <v>16</v>
      </c>
      <c r="AH44" s="16">
        <v>17</v>
      </c>
      <c r="AI44" s="16">
        <v>18</v>
      </c>
      <c r="AJ44" s="16">
        <v>19</v>
      </c>
      <c r="AK44" s="16">
        <v>20</v>
      </c>
      <c r="AL44" s="16">
        <v>21</v>
      </c>
      <c r="AM44" s="58"/>
    </row>
    <row r="45" spans="1:39" s="5" customFormat="1" ht="21" customHeight="1" x14ac:dyDescent="0.25">
      <c r="A45" s="31"/>
      <c r="B45" s="10"/>
      <c r="C45" s="10"/>
      <c r="D45" s="81"/>
      <c r="E45" s="22" t="str">
        <f>"Save"</f>
        <v>Save</v>
      </c>
      <c r="F45" s="23"/>
      <c r="G45" s="23"/>
      <c r="H45" s="23"/>
      <c r="I45" s="23"/>
      <c r="J45" s="24"/>
      <c r="K45" s="10"/>
      <c r="L45" s="10"/>
      <c r="M45" s="32"/>
      <c r="N45" s="4"/>
      <c r="O45" s="4"/>
      <c r="P45" s="11"/>
      <c r="Q45" s="5">
        <f>VLOOKUP($B$43,$Q$30:$AL$34,Q44)</f>
        <v>2</v>
      </c>
      <c r="R45" s="53"/>
      <c r="S45" s="17">
        <f t="shared" ref="S45:AL45" si="18">VLOOKUP($B$43,$Q$30:$AL$34,S44)</f>
        <v>0</v>
      </c>
      <c r="T45" s="17">
        <f t="shared" ca="1" si="18"/>
        <v>2.7272727272726893E-3</v>
      </c>
      <c r="U45" s="17">
        <f t="shared" ca="1" si="18"/>
        <v>-7.2727272727272085E-3</v>
      </c>
      <c r="V45" s="17">
        <f t="shared" ca="1" si="18"/>
        <v>5.4545454545452676E-3</v>
      </c>
      <c r="W45" s="17">
        <f t="shared" ca="1" si="18"/>
        <v>-9.090909090911925E-4</v>
      </c>
      <c r="X45" s="17">
        <f t="shared" ca="1" si="18"/>
        <v>-0.12125000000000008</v>
      </c>
      <c r="Y45" s="17">
        <f t="shared" ca="1" si="18"/>
        <v>-0.12125000000000008</v>
      </c>
      <c r="Z45" s="17">
        <f t="shared" ca="1" si="18"/>
        <v>-0.12125000000000008</v>
      </c>
      <c r="AA45" s="17">
        <f t="shared" ca="1" si="18"/>
        <v>-0.12125000000000008</v>
      </c>
      <c r="AB45" s="17">
        <f t="shared" ca="1" si="18"/>
        <v>-0.12125000000000008</v>
      </c>
      <c r="AC45" s="17">
        <f t="shared" ca="1" si="18"/>
        <v>-0.12125000000000008</v>
      </c>
      <c r="AD45" s="17">
        <f t="shared" ca="1" si="18"/>
        <v>-0.12125000000000008</v>
      </c>
      <c r="AE45" s="17">
        <f t="shared" ca="1" si="18"/>
        <v>-0.12125000000000008</v>
      </c>
      <c r="AF45" s="17">
        <f t="shared" ca="1" si="18"/>
        <v>-0.12125000000000008</v>
      </c>
      <c r="AG45" s="17">
        <f t="shared" ca="1" si="18"/>
        <v>-0.12125000000000008</v>
      </c>
      <c r="AH45" s="17">
        <f t="shared" ca="1" si="18"/>
        <v>-0.12125000000000008</v>
      </c>
      <c r="AI45" s="17">
        <f t="shared" ca="1" si="18"/>
        <v>-0.12125000000000008</v>
      </c>
      <c r="AJ45" s="17">
        <f t="shared" ca="1" si="18"/>
        <v>-0.12125000000000008</v>
      </c>
      <c r="AK45" s="17">
        <f t="shared" ca="1" si="18"/>
        <v>-0.12125000000000008</v>
      </c>
      <c r="AL45" s="17">
        <f t="shared" ca="1" si="18"/>
        <v>-0.12125000000000008</v>
      </c>
      <c r="AM45" s="53"/>
    </row>
    <row r="46" spans="1:39" s="5" customFormat="1" ht="21" customHeight="1" x14ac:dyDescent="0.25">
      <c r="A46" s="31"/>
      <c r="B46" s="64" t="s">
        <v>47</v>
      </c>
      <c r="C46" s="10"/>
      <c r="D46" s="10"/>
      <c r="E46" s="10"/>
      <c r="F46" s="10"/>
      <c r="G46" s="10"/>
      <c r="H46" s="10"/>
      <c r="I46" s="10"/>
      <c r="J46" s="10"/>
      <c r="K46" s="10"/>
      <c r="L46" s="10"/>
      <c r="M46" s="32"/>
      <c r="N46" s="4"/>
      <c r="O46" s="4"/>
      <c r="R46" s="53"/>
      <c r="X46" s="4"/>
      <c r="AF46" s="16"/>
      <c r="AG46" s="16"/>
      <c r="AH46" s="4"/>
      <c r="AM46" s="53"/>
    </row>
    <row r="47" spans="1:39" s="5" customFormat="1" ht="21" customHeight="1" x14ac:dyDescent="0.25">
      <c r="A47" s="31"/>
      <c r="B47" s="77"/>
      <c r="C47" s="10"/>
      <c r="D47" s="66" t="s">
        <v>37</v>
      </c>
      <c r="E47" s="67"/>
      <c r="F47" s="68"/>
      <c r="G47" s="10"/>
      <c r="H47" s="10"/>
      <c r="I47" s="10"/>
      <c r="J47" s="10"/>
      <c r="K47" s="10"/>
      <c r="L47" s="10"/>
      <c r="M47" s="32"/>
      <c r="N47" s="4"/>
      <c r="O47" s="4"/>
      <c r="P47" s="5" t="s">
        <v>46</v>
      </c>
      <c r="R47" s="53"/>
      <c r="W47" s="9"/>
      <c r="AF47" s="16"/>
      <c r="AG47" s="16"/>
      <c r="AH47" s="4"/>
      <c r="AM47" s="53"/>
    </row>
    <row r="48" spans="1:39" s="5" customFormat="1" ht="21" customHeight="1" x14ac:dyDescent="0.25">
      <c r="A48" s="31"/>
      <c r="B48" s="78"/>
      <c r="C48" s="10"/>
      <c r="D48" s="8" t="s">
        <v>27</v>
      </c>
      <c r="E48" s="8" t="s">
        <v>25</v>
      </c>
      <c r="F48" s="8" t="s">
        <v>26</v>
      </c>
      <c r="G48" s="10"/>
      <c r="H48" s="10"/>
      <c r="I48" s="10"/>
      <c r="J48" s="10"/>
      <c r="K48" s="10"/>
      <c r="L48" s="10"/>
      <c r="M48" s="32"/>
      <c r="N48" s="4"/>
      <c r="O48" s="4"/>
      <c r="Q48" s="5" t="s">
        <v>43</v>
      </c>
      <c r="R48" s="56">
        <f ca="1">R11</f>
        <v>-0.19999999999999996</v>
      </c>
      <c r="S48" s="17" cm="1">
        <f t="array" aca="1" ref="S48:V48" ca="1">INDIRECT(AA1)</f>
        <v>1</v>
      </c>
      <c r="T48" s="17">
        <f ca="1"/>
        <v>3</v>
      </c>
      <c r="U48" s="17">
        <f ca="1"/>
        <v>5</v>
      </c>
      <c r="V48" s="17">
        <f ca="1"/>
        <v>9</v>
      </c>
      <c r="W48" s="17"/>
      <c r="X48" s="17"/>
      <c r="Y48" s="17"/>
      <c r="Z48" s="17"/>
      <c r="AA48" s="17"/>
      <c r="AB48" s="17"/>
      <c r="AC48" s="17"/>
      <c r="AD48" s="17"/>
      <c r="AE48" s="17"/>
      <c r="AF48" s="16"/>
      <c r="AG48" s="16"/>
      <c r="AM48" s="56">
        <f ca="1">AM11</f>
        <v>10.199999999999999</v>
      </c>
    </row>
    <row r="49" spans="1:40" s="5" customFormat="1" ht="21" customHeight="1" x14ac:dyDescent="0.3">
      <c r="A49" s="31"/>
      <c r="B49" s="27">
        <v>15</v>
      </c>
      <c r="C49" s="10"/>
      <c r="D49" s="28">
        <f ca="1">STDEVA(S51:AL51)</f>
        <v>5.4734520812691305E-3</v>
      </c>
      <c r="E49" s="28">
        <f ca="1">MAX(S51:AL51)</f>
        <v>5.4545454545452676E-3</v>
      </c>
      <c r="F49" s="28">
        <f ca="1">MIN(S51:AL51)</f>
        <v>-7.2727272727272085E-3</v>
      </c>
      <c r="G49" s="10"/>
      <c r="H49" s="10"/>
      <c r="I49" s="10"/>
      <c r="J49" s="10"/>
      <c r="K49" s="10"/>
      <c r="L49" s="10"/>
      <c r="M49" s="32"/>
      <c r="N49" s="4"/>
      <c r="O49" s="4"/>
      <c r="Q49" s="5" t="s">
        <v>44</v>
      </c>
      <c r="R49" s="56"/>
      <c r="S49" s="17" cm="1">
        <f t="array" aca="1" ref="S49:V49" ca="1">INDIRECT(AA2)</f>
        <v>0.1</v>
      </c>
      <c r="T49" s="17">
        <f ca="1"/>
        <v>0.5</v>
      </c>
      <c r="U49" s="17">
        <f ca="1"/>
        <v>0.8</v>
      </c>
      <c r="V49" s="17">
        <f ca="1"/>
        <v>1.2</v>
      </c>
      <c r="W49" s="17"/>
      <c r="X49" s="17"/>
      <c r="Y49" s="17"/>
      <c r="Z49" s="17"/>
      <c r="AA49" s="17"/>
      <c r="AB49" s="17"/>
      <c r="AC49" s="17"/>
      <c r="AD49" s="17"/>
      <c r="AE49" s="17"/>
      <c r="AF49" s="16"/>
      <c r="AG49" s="16"/>
      <c r="AH49" s="4"/>
      <c r="AM49" s="53"/>
    </row>
    <row r="50" spans="1:40" s="5" customFormat="1" ht="21" customHeight="1" x14ac:dyDescent="0.25">
      <c r="A50" s="31"/>
      <c r="B50" s="10"/>
      <c r="C50" s="10"/>
      <c r="D50" s="10"/>
      <c r="E50" s="10"/>
      <c r="F50" s="10"/>
      <c r="G50" s="10"/>
      <c r="H50" s="10"/>
      <c r="I50" s="10"/>
      <c r="J50" s="10"/>
      <c r="K50" s="10"/>
      <c r="L50" s="10"/>
      <c r="M50" s="32"/>
      <c r="N50" s="4"/>
      <c r="O50" s="4"/>
      <c r="P50" s="1"/>
      <c r="Q50" s="1" t="s">
        <v>45</v>
      </c>
      <c r="R50" s="56">
        <f ca="1">R42</f>
        <v>-0.16836363636363644</v>
      </c>
      <c r="S50" s="17" cm="1">
        <f t="array" aca="1" ref="S50:V50" ca="1">INDIRECT(AA3)</f>
        <v>0.10272727272727269</v>
      </c>
      <c r="T50" s="17">
        <f ca="1"/>
        <v>0.49272727272727279</v>
      </c>
      <c r="U50" s="17">
        <f ca="1"/>
        <v>0.80545454545454531</v>
      </c>
      <c r="V50" s="17">
        <f ca="1"/>
        <v>1.1990909090909088</v>
      </c>
      <c r="W50" s="17"/>
      <c r="X50" s="17"/>
      <c r="Y50" s="17"/>
      <c r="Z50" s="17"/>
      <c r="AA50" s="17"/>
      <c r="AB50" s="17"/>
      <c r="AC50" s="17"/>
      <c r="AD50" s="17"/>
      <c r="AE50" s="17"/>
      <c r="AF50" s="16"/>
      <c r="AG50" s="16"/>
      <c r="AH50" s="2"/>
      <c r="AI50" s="1"/>
      <c r="AJ50" s="1"/>
      <c r="AK50" s="1"/>
      <c r="AL50" s="1"/>
      <c r="AM50" s="56">
        <f ca="1">AM42</f>
        <v>1.2569090909090901</v>
      </c>
    </row>
    <row r="51" spans="1:40" s="5" customFormat="1" ht="21" customHeight="1" x14ac:dyDescent="0.25">
      <c r="A51" s="38"/>
      <c r="B51" s="39"/>
      <c r="C51" s="39"/>
      <c r="D51" s="39"/>
      <c r="E51" s="39"/>
      <c r="F51" s="39"/>
      <c r="G51" s="39"/>
      <c r="H51" s="39"/>
      <c r="I51" s="39"/>
      <c r="J51" s="39"/>
      <c r="K51" s="39"/>
      <c r="L51" s="39"/>
      <c r="M51" s="40"/>
      <c r="N51" s="4"/>
      <c r="O51" s="4"/>
      <c r="P51" s="1"/>
      <c r="Q51" s="5" t="s">
        <v>35</v>
      </c>
      <c r="R51" s="53"/>
      <c r="S51" s="17" cm="1">
        <f t="array" aca="1" ref="S51:V51" ca="1">INDIRECT(AA4)</f>
        <v>0</v>
      </c>
      <c r="T51" s="17">
        <f ca="1"/>
        <v>2.7272727272726893E-3</v>
      </c>
      <c r="U51" s="17">
        <f ca="1"/>
        <v>-7.2727272727272085E-3</v>
      </c>
      <c r="V51" s="17">
        <f ca="1"/>
        <v>5.4545454545452676E-3</v>
      </c>
      <c r="W51" s="17"/>
      <c r="X51" s="17"/>
      <c r="Y51" s="17"/>
      <c r="Z51" s="17"/>
      <c r="AA51" s="17"/>
      <c r="AB51" s="17"/>
      <c r="AC51" s="17"/>
      <c r="AD51" s="17"/>
      <c r="AE51" s="17"/>
      <c r="AF51" s="16"/>
      <c r="AG51" s="16"/>
      <c r="AH51" s="2"/>
      <c r="AI51" s="1"/>
      <c r="AJ51" s="1"/>
      <c r="AK51" s="1"/>
      <c r="AL51" s="1"/>
      <c r="AM51" s="53"/>
    </row>
    <row r="52" spans="1:40" s="5" customFormat="1" ht="21" hidden="1" customHeight="1" x14ac:dyDescent="0.25">
      <c r="A52" s="1"/>
      <c r="B52" s="1"/>
      <c r="C52" s="1"/>
      <c r="D52" s="1"/>
      <c r="E52" s="1"/>
      <c r="F52" s="1"/>
      <c r="G52" s="1"/>
      <c r="H52" s="1"/>
      <c r="I52" s="1"/>
      <c r="J52" s="1"/>
      <c r="K52" s="1"/>
      <c r="L52" s="1"/>
      <c r="M52" s="1"/>
      <c r="N52" s="4"/>
      <c r="O52" s="4"/>
      <c r="R52" s="53"/>
      <c r="AM52" s="53"/>
    </row>
    <row r="53" spans="1:40" s="5" customFormat="1" ht="18" hidden="1" x14ac:dyDescent="0.25">
      <c r="A53" s="1"/>
      <c r="B53" s="1"/>
      <c r="C53" s="1"/>
      <c r="D53" s="1"/>
      <c r="E53" s="1"/>
      <c r="F53" s="1"/>
      <c r="G53" s="1"/>
      <c r="H53" s="1"/>
      <c r="I53" s="1"/>
      <c r="J53" s="1"/>
      <c r="K53" s="1"/>
      <c r="L53" s="1"/>
      <c r="M53" s="1"/>
      <c r="R53" s="53"/>
      <c r="AM53" s="53"/>
    </row>
    <row r="54" spans="1:40" s="5" customFormat="1" ht="18" hidden="1" x14ac:dyDescent="0.25">
      <c r="A54" s="1"/>
      <c r="B54" s="1"/>
      <c r="C54" s="1"/>
      <c r="D54" s="1"/>
      <c r="E54" s="1"/>
      <c r="F54" s="1"/>
      <c r="G54" s="1"/>
      <c r="H54" s="1"/>
      <c r="I54" s="1"/>
      <c r="J54" s="1"/>
      <c r="K54" s="1"/>
      <c r="L54" s="1"/>
      <c r="M54" s="1"/>
      <c r="P54" s="1"/>
      <c r="Q54" s="1"/>
      <c r="R54" s="51"/>
      <c r="S54" s="1"/>
      <c r="T54" s="1"/>
      <c r="U54" s="1"/>
      <c r="V54" s="1"/>
      <c r="W54" s="1"/>
      <c r="X54" s="1"/>
      <c r="Y54" s="1"/>
      <c r="Z54" s="1"/>
      <c r="AA54" s="1"/>
      <c r="AB54" s="1"/>
      <c r="AC54" s="1"/>
      <c r="AD54" s="1"/>
      <c r="AE54" s="1"/>
      <c r="AF54" s="1"/>
      <c r="AG54" s="1"/>
      <c r="AH54" s="2"/>
      <c r="AI54" s="1"/>
      <c r="AJ54" s="1"/>
      <c r="AK54" s="1"/>
      <c r="AL54" s="1"/>
      <c r="AM54" s="51"/>
    </row>
    <row r="55" spans="1:40" s="5" customFormat="1" ht="18" hidden="1" x14ac:dyDescent="0.25">
      <c r="A55" s="1"/>
      <c r="B55" s="1"/>
      <c r="C55" s="1"/>
      <c r="D55" s="1"/>
      <c r="E55" s="1"/>
      <c r="F55" s="1"/>
      <c r="G55" s="1"/>
      <c r="H55" s="1"/>
      <c r="I55" s="1"/>
      <c r="J55" s="1"/>
      <c r="K55" s="1"/>
      <c r="L55" s="1"/>
      <c r="M55" s="1"/>
      <c r="P55" s="1"/>
      <c r="Q55" s="1"/>
      <c r="R55" s="51"/>
      <c r="S55" s="1"/>
      <c r="T55" s="1"/>
      <c r="U55" s="1"/>
      <c r="V55" s="1"/>
      <c r="W55" s="1"/>
      <c r="X55" s="1"/>
      <c r="Y55" s="1"/>
      <c r="Z55" s="1"/>
      <c r="AA55" s="1"/>
      <c r="AB55" s="1"/>
      <c r="AC55" s="1"/>
      <c r="AD55" s="1"/>
      <c r="AE55" s="1"/>
      <c r="AF55" s="1"/>
      <c r="AG55" s="1"/>
      <c r="AH55" s="2"/>
      <c r="AI55" s="1"/>
      <c r="AJ55" s="1"/>
      <c r="AK55" s="1"/>
      <c r="AL55" s="1"/>
      <c r="AM55" s="51"/>
    </row>
    <row r="56" spans="1:40" s="5" customFormat="1" ht="18" hidden="1" x14ac:dyDescent="0.25">
      <c r="A56" s="1"/>
      <c r="B56" s="1"/>
      <c r="C56" s="1"/>
      <c r="D56" s="1"/>
      <c r="E56" s="1"/>
      <c r="F56" s="1"/>
      <c r="G56" s="1"/>
      <c r="H56" s="1"/>
      <c r="I56" s="1"/>
      <c r="J56" s="1"/>
      <c r="K56" s="1"/>
      <c r="L56" s="1"/>
      <c r="M56" s="1"/>
      <c r="P56" s="1"/>
      <c r="Q56" s="1"/>
      <c r="R56" s="51"/>
      <c r="S56" s="1"/>
      <c r="T56" s="1"/>
      <c r="U56" s="1"/>
      <c r="V56" s="1"/>
      <c r="W56" s="1"/>
      <c r="X56" s="1"/>
      <c r="Y56" s="1"/>
      <c r="Z56" s="1"/>
      <c r="AA56" s="1"/>
      <c r="AB56" s="1"/>
      <c r="AC56" s="1"/>
      <c r="AD56" s="1"/>
      <c r="AE56" s="1"/>
      <c r="AF56" s="1"/>
      <c r="AG56" s="1"/>
      <c r="AH56" s="2"/>
      <c r="AI56" s="1"/>
      <c r="AJ56" s="1"/>
      <c r="AK56" s="1"/>
      <c r="AL56" s="1"/>
      <c r="AM56" s="51"/>
    </row>
    <row r="57" spans="1:40" s="5" customFormat="1" ht="18" hidden="1" x14ac:dyDescent="0.25">
      <c r="A57" s="1"/>
      <c r="B57" s="1"/>
      <c r="C57" s="1"/>
      <c r="D57" s="1"/>
      <c r="E57" s="1"/>
      <c r="F57" s="1"/>
      <c r="G57" s="1"/>
      <c r="H57" s="1"/>
      <c r="I57" s="1"/>
      <c r="J57" s="1"/>
      <c r="K57" s="1"/>
      <c r="L57" s="1"/>
      <c r="M57" s="1"/>
      <c r="P57" s="1"/>
      <c r="Q57" s="1"/>
      <c r="R57" s="51"/>
      <c r="S57" s="1"/>
      <c r="T57" s="1"/>
      <c r="U57" s="1"/>
      <c r="V57" s="1"/>
      <c r="W57" s="1"/>
      <c r="X57" s="1"/>
      <c r="Y57" s="1"/>
      <c r="Z57" s="1"/>
      <c r="AA57" s="1"/>
      <c r="AB57" s="1"/>
      <c r="AC57" s="1"/>
      <c r="AD57" s="1"/>
      <c r="AE57" s="1"/>
      <c r="AF57" s="1"/>
      <c r="AG57" s="1"/>
      <c r="AH57" s="2"/>
      <c r="AI57" s="1"/>
      <c r="AJ57" s="1"/>
      <c r="AK57" s="1"/>
      <c r="AL57" s="1"/>
      <c r="AM57" s="51"/>
    </row>
    <row r="58" spans="1:40" s="5" customFormat="1" ht="18" hidden="1" x14ac:dyDescent="0.25">
      <c r="A58" s="1"/>
      <c r="B58" s="1"/>
      <c r="C58" s="1"/>
      <c r="D58" s="1"/>
      <c r="E58" s="1"/>
      <c r="F58" s="1"/>
      <c r="G58" s="1"/>
      <c r="H58" s="1"/>
      <c r="I58" s="1"/>
      <c r="J58" s="1"/>
      <c r="K58" s="1"/>
      <c r="L58" s="1"/>
      <c r="M58" s="1"/>
      <c r="P58" s="1"/>
      <c r="Q58" s="1"/>
      <c r="R58" s="51"/>
      <c r="S58" s="1"/>
      <c r="T58" s="1"/>
      <c r="U58" s="1"/>
      <c r="V58" s="1"/>
      <c r="W58" s="1"/>
      <c r="X58" s="1"/>
      <c r="Y58" s="1"/>
      <c r="Z58" s="1"/>
      <c r="AA58" s="1"/>
      <c r="AB58" s="1"/>
      <c r="AC58" s="1"/>
      <c r="AD58" s="1"/>
      <c r="AE58" s="1"/>
      <c r="AF58" s="1"/>
      <c r="AG58" s="1"/>
      <c r="AH58" s="2"/>
      <c r="AI58" s="1"/>
      <c r="AJ58" s="1"/>
      <c r="AK58" s="1"/>
      <c r="AL58" s="1"/>
      <c r="AM58" s="51"/>
    </row>
    <row r="59" spans="1:40" s="5" customFormat="1" ht="18" hidden="1" x14ac:dyDescent="0.25">
      <c r="A59" s="1"/>
      <c r="B59" s="1"/>
      <c r="C59" s="1"/>
      <c r="D59" s="1"/>
      <c r="E59" s="1"/>
      <c r="F59" s="1"/>
      <c r="G59" s="1"/>
      <c r="H59" s="1"/>
      <c r="I59" s="1"/>
      <c r="J59" s="1"/>
      <c r="K59" s="1"/>
      <c r="L59" s="1"/>
      <c r="M59" s="1"/>
      <c r="P59" s="1"/>
      <c r="Q59" s="1"/>
      <c r="R59" s="51"/>
      <c r="S59" s="1"/>
      <c r="T59" s="1"/>
      <c r="U59" s="1"/>
      <c r="V59" s="1"/>
      <c r="W59" s="1"/>
      <c r="X59" s="1"/>
      <c r="Y59" s="1"/>
      <c r="Z59" s="1"/>
      <c r="AA59" s="1"/>
      <c r="AB59" s="1"/>
      <c r="AC59" s="1"/>
      <c r="AD59" s="1"/>
      <c r="AE59" s="1"/>
      <c r="AF59" s="1"/>
      <c r="AG59" s="1"/>
      <c r="AH59" s="2"/>
      <c r="AI59" s="1"/>
      <c r="AJ59" s="1"/>
      <c r="AK59" s="1"/>
      <c r="AL59" s="1"/>
      <c r="AM59" s="51"/>
    </row>
    <row r="60" spans="1:40" ht="18" hidden="1" x14ac:dyDescent="0.25">
      <c r="AN60" s="5"/>
    </row>
    <row r="61" spans="1:40" ht="18" hidden="1" x14ac:dyDescent="0.25">
      <c r="AN61" s="5"/>
    </row>
    <row r="62" spans="1:40" ht="18" hidden="1" x14ac:dyDescent="0.25">
      <c r="AN62" s="5"/>
    </row>
    <row r="63" spans="1:40" ht="18" hidden="1" x14ac:dyDescent="0.25">
      <c r="AN63" s="5"/>
    </row>
    <row r="64" spans="1:40" ht="18" hidden="1" x14ac:dyDescent="0.25">
      <c r="AN64" s="5"/>
    </row>
    <row r="65" spans="3:40" ht="18" hidden="1" x14ac:dyDescent="0.25">
      <c r="AN65" s="5"/>
    </row>
    <row r="66" spans="3:40" ht="18" hidden="1" x14ac:dyDescent="0.25">
      <c r="C66" s="1" t="s">
        <v>0</v>
      </c>
      <c r="AN66" s="5"/>
    </row>
    <row r="67" spans="3:40" ht="18" hidden="1" x14ac:dyDescent="0.25">
      <c r="AN67" s="5"/>
    </row>
    <row r="68" spans="3:40" ht="18" hidden="1" x14ac:dyDescent="0.25">
      <c r="AN68" s="5"/>
    </row>
    <row r="69" spans="3:40" ht="18" hidden="1" x14ac:dyDescent="0.25">
      <c r="AN69" s="5"/>
    </row>
    <row r="70" spans="3:40" ht="18" hidden="1" x14ac:dyDescent="0.25">
      <c r="AN70" s="5"/>
    </row>
    <row r="76" spans="3:40" hidden="1" x14ac:dyDescent="0.25">
      <c r="AJ76" s="1" t="s">
        <v>0</v>
      </c>
    </row>
    <row r="81" spans="1:38" hidden="1" x14ac:dyDescent="0.25">
      <c r="A81" s="1" t="s">
        <v>0</v>
      </c>
      <c r="H81" s="1" t="s">
        <v>0</v>
      </c>
    </row>
    <row r="82" spans="1:38" hidden="1" x14ac:dyDescent="0.25">
      <c r="AL82" s="1" t="s">
        <v>0</v>
      </c>
    </row>
    <row r="84" spans="1:38" hidden="1" x14ac:dyDescent="0.25">
      <c r="N84" s="4"/>
      <c r="O84" s="4"/>
    </row>
  </sheetData>
  <sheetProtection algorithmName="SHA-512" hashValue="iZe613gRihPIEvaqpTCZxIxmzCxQ7y3fTjBrq/VI6bJNMorjY2D6p2qh2D+EevVJjc+13EjrL3XW6mIDfGKzkw==" saltValue="vckyCuUI/qr849ITwiE6xA==" spinCount="100000" sheet="1" objects="1" scenarios="1" selectLockedCells="1"/>
  <mergeCells count="9">
    <mergeCell ref="B41:B42"/>
    <mergeCell ref="D47:F47"/>
    <mergeCell ref="J3:L3"/>
    <mergeCell ref="B17:B18"/>
    <mergeCell ref="C17:C18"/>
    <mergeCell ref="D17:D18"/>
    <mergeCell ref="B46:B48"/>
    <mergeCell ref="D43:D45"/>
    <mergeCell ref="B5:L15"/>
  </mergeCells>
  <phoneticPr fontId="10" type="noConversion"/>
  <conditionalFormatting sqref="E43 E42:J42 D49:F49">
    <cfRule type="expression" dxfId="2" priority="166">
      <formula>(#REF!=0)</formula>
    </cfRule>
    <cfRule type="expression" dxfId="1" priority="167">
      <formula>#REF!&gt;#REF!</formula>
    </cfRule>
  </conditionalFormatting>
  <conditionalFormatting sqref="B49 B43">
    <cfRule type="expression" dxfId="0" priority="172">
      <formula>$B$43&gt;($W$3-2)</formula>
    </cfRule>
  </conditionalFormatting>
  <dataValidations xWindow="210" yWindow="878" count="2">
    <dataValidation type="list" allowBlank="1" showInputMessage="1" showErrorMessage="1" prompt="Input degree from 1 to 5. Higher degrees will require more input datapoints. A high degree might produce a better fit. Surplus data points will strengthen the validity of the fit." sqref="B43" xr:uid="{49BC1C55-2E20-4F2A-90CF-E7D6C0C661D1}">
      <formula1>$V$4:$V$8</formula1>
    </dataValidation>
    <dataValidation type="whole" allowBlank="1" showInputMessage="1" showErrorMessage="1" prompt="Select how far the graph is extended outside of the input data. This does not influence the fit but indicates the effect of measuring outside of the range of input data. Different polynomial degree might produce different extrapolation result." sqref="B49" xr:uid="{164E8405-B48F-417F-AFB4-7C4C89B5BFE3}">
      <formula1>0</formula1>
      <formula2>50</formula2>
    </dataValidation>
  </dataValidations>
  <pageMargins left="0.7" right="0.7" top="0.75" bottom="0.75" header="0.3" footer="0.3"/>
  <pageSetup paperSize="8" orientation="landscape"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Calibration</vt:lpstr>
      <vt:lpstr>X</vt:lpstr>
      <vt:lpstr>Y</vt:lpstr>
    </vt:vector>
  </TitlesOfParts>
  <Company>aadi</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Hovdenes, Jostein - Xylem</dc:creator>
  <cp:lastModifiedBy>Heltne, Jarle - Xylem</cp:lastModifiedBy>
  <dcterms:created xsi:type="dcterms:W3CDTF">2020-10-13T09:37:23Z</dcterms:created>
  <dcterms:modified xsi:type="dcterms:W3CDTF">2022-01-27T10:04:32Z</dcterms:modified>
</cp:coreProperties>
</file>